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ialko\Documents\Step_Transects\"/>
    </mc:Choice>
  </mc:AlternateContent>
  <xr:revisionPtr revIDLastSave="0" documentId="13_ncr:1_{4B4E84D3-34C4-4746-B3C7-5E10E34D19E0}" xr6:coauthVersionLast="45" xr6:coauthVersionMax="45" xr10:uidLastSave="{00000000-0000-0000-0000-000000000000}"/>
  <bookViews>
    <workbookView xWindow="28680" yWindow="-120" windowWidth="30960" windowHeight="16920" activeTab="1" xr2:uid="{E2945FE7-F7FE-480D-AEC7-65D072498B39}"/>
  </bookViews>
  <sheets>
    <sheet name="Metadata" sheetId="3" r:id="rId1"/>
    <sheet name="Field Plots" sheetId="1" r:id="rId2"/>
    <sheet name="Occurrence" sheetId="12" r:id="rId3"/>
    <sheet name="Species Assn" sheetId="11" r:id="rId4"/>
    <sheet name="List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2" l="1"/>
  <c r="O14" i="12"/>
  <c r="O13" i="12"/>
  <c r="O12" i="12"/>
  <c r="O11" i="12"/>
  <c r="O10" i="12"/>
  <c r="O9" i="12"/>
  <c r="O8" i="12"/>
  <c r="O7" i="12"/>
  <c r="O6" i="12"/>
  <c r="O5" i="12"/>
  <c r="O4" i="12"/>
  <c r="O3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C15" i="12"/>
  <c r="C14" i="12"/>
  <c r="C13" i="12"/>
  <c r="C12" i="12"/>
  <c r="C11" i="12"/>
  <c r="C10" i="12"/>
  <c r="C9" i="12"/>
  <c r="C8" i="12"/>
  <c r="C7" i="12"/>
  <c r="C6" i="12"/>
  <c r="C5" i="12"/>
  <c r="C4" i="12"/>
  <c r="B8" i="3" l="1"/>
  <c r="B7" i="3"/>
  <c r="C3" i="12" l="1"/>
  <c r="P3" i="12" s="1"/>
  <c r="P4" i="12"/>
  <c r="P11" i="12"/>
  <c r="C3" i="11"/>
  <c r="D3" i="11"/>
  <c r="E3" i="11"/>
  <c r="F3" i="11"/>
  <c r="G3" i="11"/>
  <c r="H3" i="11"/>
  <c r="I3" i="11"/>
  <c r="J3" i="11"/>
  <c r="K3" i="11"/>
  <c r="C4" i="11"/>
  <c r="D4" i="11"/>
  <c r="E4" i="11"/>
  <c r="F4" i="11"/>
  <c r="G4" i="11"/>
  <c r="H4" i="11"/>
  <c r="I4" i="11"/>
  <c r="J4" i="11"/>
  <c r="K4" i="11"/>
  <c r="C5" i="11"/>
  <c r="D5" i="11"/>
  <c r="E5" i="11"/>
  <c r="F5" i="11"/>
  <c r="G5" i="11"/>
  <c r="H5" i="11"/>
  <c r="I5" i="11"/>
  <c r="J5" i="11"/>
  <c r="K5" i="11"/>
  <c r="C6" i="11"/>
  <c r="D6" i="11"/>
  <c r="E6" i="11"/>
  <c r="F6" i="11"/>
  <c r="G6" i="11"/>
  <c r="H6" i="11"/>
  <c r="I6" i="11"/>
  <c r="J6" i="11"/>
  <c r="K6" i="11"/>
  <c r="C7" i="11"/>
  <c r="D7" i="11"/>
  <c r="E7" i="11"/>
  <c r="F7" i="11"/>
  <c r="G7" i="11"/>
  <c r="H7" i="11"/>
  <c r="I7" i="11"/>
  <c r="J7" i="11"/>
  <c r="K7" i="11"/>
  <c r="C8" i="11"/>
  <c r="D8" i="11"/>
  <c r="E8" i="11"/>
  <c r="F8" i="11"/>
  <c r="G8" i="11"/>
  <c r="H8" i="11"/>
  <c r="I8" i="11"/>
  <c r="J8" i="11"/>
  <c r="K8" i="11"/>
  <c r="C9" i="11"/>
  <c r="D9" i="11"/>
  <c r="E9" i="11"/>
  <c r="F9" i="11"/>
  <c r="G9" i="11"/>
  <c r="H9" i="11"/>
  <c r="I9" i="11"/>
  <c r="J9" i="11"/>
  <c r="K9" i="11"/>
  <c r="C10" i="11"/>
  <c r="D10" i="11"/>
  <c r="E10" i="11"/>
  <c r="F10" i="11"/>
  <c r="G10" i="11"/>
  <c r="H10" i="11"/>
  <c r="I10" i="11"/>
  <c r="J10" i="11"/>
  <c r="K10" i="11"/>
  <c r="C11" i="11"/>
  <c r="D11" i="11"/>
  <c r="E11" i="11"/>
  <c r="F11" i="11"/>
  <c r="G11" i="11"/>
  <c r="H11" i="11"/>
  <c r="I11" i="11"/>
  <c r="J11" i="11"/>
  <c r="K11" i="11"/>
  <c r="J12" i="11" l="1"/>
  <c r="P14" i="12"/>
  <c r="P6" i="12"/>
  <c r="P7" i="12"/>
  <c r="P10" i="12"/>
  <c r="P9" i="12"/>
  <c r="P13" i="12"/>
  <c r="P5" i="12"/>
  <c r="D12" i="11"/>
  <c r="H12" i="11"/>
  <c r="L11" i="11"/>
  <c r="F12" i="11"/>
  <c r="K12" i="11"/>
  <c r="L8" i="11"/>
  <c r="L6" i="11"/>
  <c r="L7" i="11"/>
  <c r="P12" i="12"/>
  <c r="I12" i="11"/>
  <c r="L16" i="12"/>
  <c r="G12" i="11"/>
  <c r="L5" i="11"/>
  <c r="E12" i="11"/>
  <c r="L4" i="11"/>
  <c r="L10" i="11"/>
  <c r="L3" i="11"/>
  <c r="C12" i="11"/>
  <c r="L9" i="11"/>
  <c r="D16" i="12"/>
  <c r="N16" i="12"/>
  <c r="F16" i="12"/>
  <c r="E16" i="12"/>
  <c r="G16" i="12"/>
  <c r="I16" i="12"/>
  <c r="H16" i="12"/>
  <c r="J16" i="12"/>
  <c r="P15" i="12"/>
  <c r="M16" i="12"/>
  <c r="K16" i="12"/>
  <c r="P8" i="12"/>
  <c r="C16" i="12"/>
  <c r="O16" i="12"/>
  <c r="L12" i="11" l="1"/>
  <c r="P16" i="12"/>
</calcChain>
</file>

<file path=xl/sharedStrings.xml><?xml version="1.0" encoding="utf-8"?>
<sst xmlns="http://schemas.openxmlformats.org/spreadsheetml/2006/main" count="499" uniqueCount="49">
  <si>
    <t>Plot</t>
  </si>
  <si>
    <t>BA Live</t>
  </si>
  <si>
    <t>BA Dead</t>
  </si>
  <si>
    <t>Overstory Species</t>
  </si>
  <si>
    <t>Understory Species</t>
  </si>
  <si>
    <t>Overstory Size Class</t>
  </si>
  <si>
    <t>Understory Size Class</t>
  </si>
  <si>
    <t>Transect</t>
  </si>
  <si>
    <t>Species</t>
  </si>
  <si>
    <t>Size Class</t>
  </si>
  <si>
    <t>Douglas-fir</t>
  </si>
  <si>
    <t>Engelmann spruce</t>
  </si>
  <si>
    <t>Project:</t>
  </si>
  <si>
    <t>Unit #:</t>
  </si>
  <si>
    <t>BAF:</t>
  </si>
  <si>
    <t>Date:</t>
  </si>
  <si>
    <t>Crew:</t>
  </si>
  <si>
    <t>Grand Total</t>
  </si>
  <si>
    <t>Subalpine fir</t>
  </si>
  <si>
    <t>Bare Ground</t>
  </si>
  <si>
    <t>Ponderosa pine</t>
  </si>
  <si>
    <t>Lodgepole pine</t>
  </si>
  <si>
    <t>Limber pine</t>
  </si>
  <si>
    <t>Aspen</t>
  </si>
  <si>
    <t>Supalpine fir</t>
  </si>
  <si>
    <t>Rocky Mtn. Juniper</t>
  </si>
  <si>
    <t># plots:</t>
  </si>
  <si>
    <t>Live BA:</t>
  </si>
  <si>
    <t xml:space="preserve">Dead BA: </t>
  </si>
  <si>
    <t>Fialko</t>
  </si>
  <si>
    <t>Saplings 2ft-5in</t>
  </si>
  <si>
    <t>Seedlings &lt;2ft</t>
  </si>
  <si>
    <t>Poles 5-8in</t>
  </si>
  <si>
    <t>SmallSL 8-12in</t>
  </si>
  <si>
    <t>MediumSL 12-16in</t>
  </si>
  <si>
    <t>LargeSL 16-20in</t>
  </si>
  <si>
    <t>XLargeSL &gt;20in</t>
  </si>
  <si>
    <t>Aspen Seedlings &lt;2ft</t>
  </si>
  <si>
    <t>Aspen Saplings 2ft-5in</t>
  </si>
  <si>
    <t>Aspen Small 5-7in</t>
  </si>
  <si>
    <t>Aspen Medium 7-10in</t>
  </si>
  <si>
    <t>Aspen Large &gt;10in</t>
  </si>
  <si>
    <t>Forsythe II</t>
  </si>
  <si>
    <t>Notes</t>
  </si>
  <si>
    <t>Recorder</t>
  </si>
  <si>
    <t>KF</t>
  </si>
  <si>
    <t>GH</t>
  </si>
  <si>
    <t>JB</t>
  </si>
  <si>
    <t>drainage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</si>
</sst>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10" fontId="0" fillId="0" borderId="0" xfId="0" applyNumberFormat="1"/>
    <xf numFmtId="10" fontId="1" fillId="2" borderId="2" xfId="0" applyNumberFormat="1" applyFont="1" applyFill="1" applyBorder="1"/>
    <xf numFmtId="0" fontId="1" fillId="2" borderId="0" xfId="0" applyFont="1" applyFill="1" applyBorder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33CCCC"/>
      <color rgb="FFCCCC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Overstory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Occurrence!$C$2:$O$2</c:f>
              <c:strCache>
                <c:ptCount val="13"/>
                <c:pt idx="0">
                  <c:v>Bare Ground</c:v>
                </c:pt>
                <c:pt idx="1">
                  <c:v>Seedlings &lt;2ft</c:v>
                </c:pt>
                <c:pt idx="2">
                  <c:v>Saplings 2ft-5in</c:v>
                </c:pt>
                <c:pt idx="3">
                  <c:v>Poles 5-8in</c:v>
                </c:pt>
                <c:pt idx="4">
                  <c:v>SmallSL 8-12in</c:v>
                </c:pt>
                <c:pt idx="5">
                  <c:v>MediumSL 12-16in</c:v>
                </c:pt>
                <c:pt idx="6">
                  <c:v>LargeSL 16-20in</c:v>
                </c:pt>
                <c:pt idx="7">
                  <c:v>XLargeSL &gt;20in</c:v>
                </c:pt>
                <c:pt idx="8">
                  <c:v>Aspen Seedlings &lt;2ft</c:v>
                </c:pt>
                <c:pt idx="9">
                  <c:v>Aspen Saplings 2ft-5in</c:v>
                </c:pt>
                <c:pt idx="10">
                  <c:v>Aspen Small 5-7in</c:v>
                </c:pt>
                <c:pt idx="11">
                  <c:v>Aspen Medium 7-10in</c:v>
                </c:pt>
                <c:pt idx="12">
                  <c:v>Aspen Large &gt;10in</c:v>
                </c:pt>
              </c:strCache>
            </c:strRef>
          </c:cat>
          <c:val>
            <c:numRef>
              <c:f>Occurrence!$C$16:$O$16</c:f>
              <c:numCache>
                <c:formatCode>0.00%</c:formatCode>
                <c:ptCount val="13"/>
                <c:pt idx="0">
                  <c:v>2.4691358024691357E-2</c:v>
                </c:pt>
                <c:pt idx="1">
                  <c:v>2.4691358024691357E-2</c:v>
                </c:pt>
                <c:pt idx="2">
                  <c:v>0.1111111111111111</c:v>
                </c:pt>
                <c:pt idx="3">
                  <c:v>0.22222222222222221</c:v>
                </c:pt>
                <c:pt idx="4">
                  <c:v>0.30864197530864196</c:v>
                </c:pt>
                <c:pt idx="5">
                  <c:v>0.18518518518518517</c:v>
                </c:pt>
                <c:pt idx="6">
                  <c:v>2.4691358024691357E-2</c:v>
                </c:pt>
                <c:pt idx="7">
                  <c:v>3.7037037037037035E-2</c:v>
                </c:pt>
                <c:pt idx="8">
                  <c:v>1.2345679012345678E-2</c:v>
                </c:pt>
                <c:pt idx="9">
                  <c:v>0</c:v>
                </c:pt>
                <c:pt idx="10">
                  <c:v>4.9382716049382713E-2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C-4168-8AF3-C1575ECFC576}"/>
            </c:ext>
          </c:extLst>
        </c:ser>
        <c:ser>
          <c:idx val="1"/>
          <c:order val="1"/>
          <c:tx>
            <c:v>Bare Ground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Occurrence!$C$3:$O$3</c:f>
              <c:numCache>
                <c:formatCode>0.00%</c:formatCode>
                <c:ptCount val="13"/>
                <c:pt idx="0">
                  <c:v>2.4691358024691357E-2</c:v>
                </c:pt>
                <c:pt idx="1">
                  <c:v>1.2345679012345678E-2</c:v>
                </c:pt>
                <c:pt idx="2">
                  <c:v>3.7037037037037035E-2</c:v>
                </c:pt>
                <c:pt idx="3">
                  <c:v>0</c:v>
                </c:pt>
                <c:pt idx="4">
                  <c:v>2.4691358024691357E-2</c:v>
                </c:pt>
                <c:pt idx="5">
                  <c:v>1.2345679012345678E-2</c:v>
                </c:pt>
                <c:pt idx="6">
                  <c:v>0</c:v>
                </c:pt>
                <c:pt idx="7">
                  <c:v>0</c:v>
                </c:pt>
                <c:pt idx="8">
                  <c:v>1.2345679012345678E-2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C-4168-8AF3-C1575ECFC576}"/>
            </c:ext>
          </c:extLst>
        </c:ser>
        <c:ser>
          <c:idx val="2"/>
          <c:order val="2"/>
          <c:tx>
            <c:v>Seedlings &lt;2'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Occurrence!$C$4:$O$4</c:f>
              <c:numCache>
                <c:formatCode>0.00%</c:formatCode>
                <c:ptCount val="13"/>
                <c:pt idx="0">
                  <c:v>0</c:v>
                </c:pt>
                <c:pt idx="1">
                  <c:v>1.2345679012345678E-2</c:v>
                </c:pt>
                <c:pt idx="2">
                  <c:v>0</c:v>
                </c:pt>
                <c:pt idx="3">
                  <c:v>1.2345679012345678E-2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C-4168-8AF3-C1575ECFC576}"/>
            </c:ext>
          </c:extLst>
        </c:ser>
        <c:ser>
          <c:idx val="3"/>
          <c:order val="3"/>
          <c:tx>
            <c:v>Saplings 2'-5"</c:v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val>
            <c:numRef>
              <c:f>Occurrence!$C$5:$O$5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6.1728395061728392E-2</c:v>
                </c:pt>
                <c:pt idx="3">
                  <c:v>4.9382716049382713E-2</c:v>
                </c:pt>
                <c:pt idx="4">
                  <c:v>6.1728395061728392E-2</c:v>
                </c:pt>
                <c:pt idx="5">
                  <c:v>4.9382716049382713E-2</c:v>
                </c:pt>
                <c:pt idx="6">
                  <c:v>2.4691358024691357E-2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2.4691358024691357E-2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8C-4168-8AF3-C1575ECFC576}"/>
            </c:ext>
          </c:extLst>
        </c:ser>
        <c:ser>
          <c:idx val="4"/>
          <c:order val="4"/>
          <c:tx>
            <c:v>Poles 5-8"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Occurrence!$C$6:$O$6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0.13580246913580246</c:v>
                </c:pt>
                <c:pt idx="4">
                  <c:v>8.6419753086419748E-2</c:v>
                </c:pt>
                <c:pt idx="5">
                  <c:v>2.4691358024691357E-2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8C-4168-8AF3-C1575ECFC576}"/>
            </c:ext>
          </c:extLst>
        </c:ser>
        <c:ser>
          <c:idx val="5"/>
          <c:order val="5"/>
          <c:tx>
            <c:v>SmallSL 8-12"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Occurrence!$C$7:$O$7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0.1111111111111111</c:v>
                </c:pt>
                <c:pt idx="5">
                  <c:v>3.7037037037037035E-2</c:v>
                </c:pt>
                <c:pt idx="6">
                  <c:v>0</c:v>
                </c:pt>
                <c:pt idx="7">
                  <c:v>1.2345679012345678E-2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8C-4168-8AF3-C1575ECFC576}"/>
            </c:ext>
          </c:extLst>
        </c:ser>
        <c:ser>
          <c:idx val="6"/>
          <c:order val="6"/>
          <c:tx>
            <c:v>MediumSL 12-16"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Occurrence!$C$8:$O$8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2.4691358024691357E-2</c:v>
                </c:pt>
                <c:pt idx="6">
                  <c:v>0</c:v>
                </c:pt>
                <c:pt idx="7">
                  <c:v>1.2345679012345678E-2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8C-4168-8AF3-C1575ECFC576}"/>
            </c:ext>
          </c:extLst>
        </c:ser>
        <c:ser>
          <c:idx val="7"/>
          <c:order val="7"/>
          <c:tx>
            <c:v>LargeSL 16-20"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Occurrence!$C$9:$O$9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1.2345679012345678E-2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8C-4168-8AF3-C1575ECFC576}"/>
            </c:ext>
          </c:extLst>
        </c:ser>
        <c:ser>
          <c:idx val="8"/>
          <c:order val="8"/>
          <c:tx>
            <c:v>XLargeSL &gt;20"</c:v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val>
            <c:numRef>
              <c:f>Occurrence!$C$10:$O$10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8C-4168-8AF3-C1575ECFC576}"/>
            </c:ext>
          </c:extLst>
        </c:ser>
        <c:ser>
          <c:idx val="9"/>
          <c:order val="9"/>
          <c:tx>
            <c:v>Aspen Seedlings &lt;2'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Occurrence!$C$11:$O$11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2.4691358024691357E-2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8C-4168-8AF3-C1575ECFC576}"/>
            </c:ext>
          </c:extLst>
        </c:ser>
        <c:ser>
          <c:idx val="10"/>
          <c:order val="10"/>
          <c:tx>
            <c:v>Aspen Saplings 2'-5"</c:v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val>
            <c:numRef>
              <c:f>Occurrence!$C$12:$O$12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1.2345679012345678E-2</c:v>
                </c:pt>
                <c:pt idx="3">
                  <c:v>0</c:v>
                </c:pt>
                <c:pt idx="4">
                  <c:v>2.4691358024691357E-2</c:v>
                </c:pt>
                <c:pt idx="5">
                  <c:v>3.7037037037037035E-2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2.4691358024691357E-2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C-4168-8AF3-C1575ECFC576}"/>
            </c:ext>
          </c:extLst>
        </c:ser>
        <c:ser>
          <c:idx val="11"/>
          <c:order val="11"/>
          <c:tx>
            <c:v>Aspen Small 5-7"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Occurrence!$C$13:$O$13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8C-4168-8AF3-C1575ECFC576}"/>
            </c:ext>
          </c:extLst>
        </c:ser>
        <c:ser>
          <c:idx val="12"/>
          <c:order val="12"/>
          <c:tx>
            <c:v>Aspen Medium 7-10"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Occurrence!$C$14:$O$14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8C-4168-8AF3-C1575ECFC576}"/>
            </c:ext>
          </c:extLst>
        </c:ser>
        <c:ser>
          <c:idx val="13"/>
          <c:order val="13"/>
          <c:tx>
            <c:v>Aspen Large &gt;10"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Occurrence!$C$15:$O$15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8C-4168-8AF3-C1575ECFC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6830943"/>
        <c:axId val="1994620063"/>
      </c:barChart>
      <c:catAx>
        <c:axId val="180683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620063"/>
        <c:crosses val="autoZero"/>
        <c:auto val="1"/>
        <c:lblAlgn val="ctr"/>
        <c:lblOffset val="100"/>
        <c:noMultiLvlLbl val="0"/>
      </c:catAx>
      <c:valAx>
        <c:axId val="199462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83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Overstory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'Species Assn'!$C$2:$K$2</c:f>
              <c:strCache>
                <c:ptCount val="9"/>
                <c:pt idx="0">
                  <c:v>Bare Ground</c:v>
                </c:pt>
                <c:pt idx="1">
                  <c:v>Ponderosa pine</c:v>
                </c:pt>
                <c:pt idx="2">
                  <c:v>Lodgepole pine</c:v>
                </c:pt>
                <c:pt idx="3">
                  <c:v>Douglas-fir</c:v>
                </c:pt>
                <c:pt idx="4">
                  <c:v>Limber pine</c:v>
                </c:pt>
                <c:pt idx="5">
                  <c:v>Aspen</c:v>
                </c:pt>
                <c:pt idx="6">
                  <c:v>Rocky Mtn. Juniper</c:v>
                </c:pt>
                <c:pt idx="7">
                  <c:v>Engelmann spruce</c:v>
                </c:pt>
                <c:pt idx="8">
                  <c:v>Subalpine fir</c:v>
                </c:pt>
              </c:strCache>
            </c:strRef>
          </c:cat>
          <c:val>
            <c:numRef>
              <c:f>'Species Assn'!$C$12:$K$12</c:f>
              <c:numCache>
                <c:formatCode>0.00%</c:formatCode>
                <c:ptCount val="9"/>
                <c:pt idx="0">
                  <c:v>2.4691358024691357E-2</c:v>
                </c:pt>
                <c:pt idx="1">
                  <c:v>0.40740740740740738</c:v>
                </c:pt>
                <c:pt idx="2">
                  <c:v>0.1728395061728395</c:v>
                </c:pt>
                <c:pt idx="3">
                  <c:v>0.32098765432098764</c:v>
                </c:pt>
                <c:pt idx="4">
                  <c:v>0</c:v>
                </c:pt>
                <c:pt idx="5">
                  <c:v>6.1728395061728392E-2</c:v>
                </c:pt>
                <c:pt idx="6">
                  <c:v>0</c:v>
                </c:pt>
                <c:pt idx="7">
                  <c:v>1.2345679012345678E-2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9-4590-854D-030572A35965}"/>
            </c:ext>
          </c:extLst>
        </c:ser>
        <c:ser>
          <c:idx val="1"/>
          <c:order val="1"/>
          <c:tx>
            <c:v>Ponderosa pine</c:v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val>
            <c:numRef>
              <c:f>'Species Assn'!$C$4:$K$4</c:f>
              <c:numCache>
                <c:formatCode>0.00%</c:formatCode>
                <c:ptCount val="9"/>
                <c:pt idx="0">
                  <c:v>0</c:v>
                </c:pt>
                <c:pt idx="1">
                  <c:v>0.1111111111111111</c:v>
                </c:pt>
                <c:pt idx="2">
                  <c:v>4.9382716049382713E-2</c:v>
                </c:pt>
                <c:pt idx="3">
                  <c:v>7.407407407407407E-2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1.2345679012345678E-2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9-4590-854D-030572A35965}"/>
            </c:ext>
          </c:extLst>
        </c:ser>
        <c:ser>
          <c:idx val="2"/>
          <c:order val="2"/>
          <c:tx>
            <c:v>Lodgepole pine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'Species Assn'!$C$5:$K$5</c:f>
              <c:numCache>
                <c:formatCode>0.00%</c:formatCode>
                <c:ptCount val="9"/>
                <c:pt idx="0">
                  <c:v>0</c:v>
                </c:pt>
                <c:pt idx="1">
                  <c:v>3.7037037037037035E-2</c:v>
                </c:pt>
                <c:pt idx="2">
                  <c:v>6.1728395061728392E-2</c:v>
                </c:pt>
                <c:pt idx="3">
                  <c:v>3.7037037037037035E-2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9-4590-854D-030572A35965}"/>
            </c:ext>
          </c:extLst>
        </c:ser>
        <c:ser>
          <c:idx val="3"/>
          <c:order val="3"/>
          <c:tx>
            <c:v>Douglas-fir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'Species Assn'!$C$6:$K$6</c:f>
              <c:numCache>
                <c:formatCode>0.00%</c:formatCode>
                <c:ptCount val="9"/>
                <c:pt idx="0">
                  <c:v>0</c:v>
                </c:pt>
                <c:pt idx="1">
                  <c:v>0.18518518518518517</c:v>
                </c:pt>
                <c:pt idx="2">
                  <c:v>4.9382716049382713E-2</c:v>
                </c:pt>
                <c:pt idx="3">
                  <c:v>8.6419753086419748E-2</c:v>
                </c:pt>
                <c:pt idx="4">
                  <c:v>0</c:v>
                </c:pt>
                <c:pt idx="5">
                  <c:v>2.4691358024691357E-2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49-4590-854D-030572A35965}"/>
            </c:ext>
          </c:extLst>
        </c:ser>
        <c:ser>
          <c:idx val="4"/>
          <c:order val="4"/>
          <c:tx>
            <c:v>Limber pine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'Species Assn'!$C$7:$K$7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49-4590-854D-030572A35965}"/>
            </c:ext>
          </c:extLst>
        </c:ser>
        <c:ser>
          <c:idx val="5"/>
          <c:order val="5"/>
          <c:tx>
            <c:v>Aspen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'Species Assn'!$C$8:$K$8</c:f>
              <c:numCache>
                <c:formatCode>0.00%</c:formatCode>
                <c:ptCount val="9"/>
                <c:pt idx="0">
                  <c:v>0</c:v>
                </c:pt>
                <c:pt idx="1">
                  <c:v>2.4691358024691357E-2</c:v>
                </c:pt>
                <c:pt idx="2">
                  <c:v>1.2345679012345678E-2</c:v>
                </c:pt>
                <c:pt idx="3">
                  <c:v>7.407407407407407E-2</c:v>
                </c:pt>
                <c:pt idx="4">
                  <c:v>0</c:v>
                </c:pt>
                <c:pt idx="5">
                  <c:v>2.4691358024691357E-2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49-4590-854D-030572A35965}"/>
            </c:ext>
          </c:extLst>
        </c:ser>
        <c:ser>
          <c:idx val="6"/>
          <c:order val="6"/>
          <c:tx>
            <c:v>Rocky Mtn. Juniper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'Species Assn'!$C$9:$K$9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49-4590-854D-030572A35965}"/>
            </c:ext>
          </c:extLst>
        </c:ser>
        <c:ser>
          <c:idx val="7"/>
          <c:order val="7"/>
          <c:tx>
            <c:v>Engelmann spruce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'Species Assn'!$C$10:$K$10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1.2345679012345678E-2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49-4590-854D-030572A35965}"/>
            </c:ext>
          </c:extLst>
        </c:ser>
        <c:ser>
          <c:idx val="8"/>
          <c:order val="8"/>
          <c:tx>
            <c:v>Subalpine fir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'Species Assn'!$C$11:$K$11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49-4590-854D-030572A35965}"/>
            </c:ext>
          </c:extLst>
        </c:ser>
        <c:ser>
          <c:idx val="9"/>
          <c:order val="9"/>
          <c:tx>
            <c:v>Bare Ground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'Species Assn'!$C$3:$K$3</c:f>
              <c:numCache>
                <c:formatCode>0.00%</c:formatCode>
                <c:ptCount val="9"/>
                <c:pt idx="0">
                  <c:v>2.4691358024691357E-2</c:v>
                </c:pt>
                <c:pt idx="1">
                  <c:v>4.9382716049382713E-2</c:v>
                </c:pt>
                <c:pt idx="2">
                  <c:v>0</c:v>
                </c:pt>
                <c:pt idx="3">
                  <c:v>3.7037037037037035E-2</c:v>
                </c:pt>
                <c:pt idx="4">
                  <c:v>0</c:v>
                </c:pt>
                <c:pt idx="5">
                  <c:v>1.2345679012345678E-2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49-4590-854D-030572A35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9091103"/>
        <c:axId val="1317947215"/>
      </c:barChart>
      <c:catAx>
        <c:axId val="189909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947215"/>
        <c:crosses val="autoZero"/>
        <c:auto val="1"/>
        <c:lblAlgn val="ctr"/>
        <c:lblOffset val="100"/>
        <c:noMultiLvlLbl val="0"/>
      </c:catAx>
      <c:valAx>
        <c:axId val="131794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09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17</xdr:row>
      <xdr:rowOff>1586</xdr:rowOff>
    </xdr:from>
    <xdr:to>
      <xdr:col>19</xdr:col>
      <xdr:colOff>180975</xdr:colOff>
      <xdr:row>59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7A55F-4640-4260-90F8-FC966F81E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25400</xdr:rowOff>
    </xdr:from>
    <xdr:to>
      <xdr:col>30</xdr:col>
      <xdr:colOff>600075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EBD4D6-595E-480F-B080-94835D6A3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D084E6-A3C4-49B3-BE4D-1D3A2FD36316}" name="Table3" displayName="Table3" ref="B2:B11" totalsRowShown="0">
  <autoFilter ref="B2:B11" xr:uid="{EA2D490A-882A-4B7F-A1EF-DF72B3DF0C9F}"/>
  <tableColumns count="1">
    <tableColumn id="1" xr3:uid="{AD8D2F4B-2AC0-4A2F-983B-B4920EF76333}" name="Speci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44EC2E-5EF1-4D90-893B-FEF0377AC01C}" name="Table4" displayName="Table4" ref="C2:C15" totalsRowShown="0">
  <autoFilter ref="C2:C15" xr:uid="{82CDD4A4-AD2D-4B6F-9C48-46C1AD61D4FC}"/>
  <tableColumns count="1">
    <tableColumn id="1" xr3:uid="{01275F91-23EE-4AEB-9AB7-9E88C4EAC2CE}" name="Size Clas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5DCD-71B4-4B6B-8E2F-9D1DD8AB971E}">
  <dimension ref="A1:B8"/>
  <sheetViews>
    <sheetView workbookViewId="0">
      <selection activeCell="B4" sqref="B4"/>
    </sheetView>
  </sheetViews>
  <sheetFormatPr defaultRowHeight="14.5" x14ac:dyDescent="0.35"/>
  <cols>
    <col min="2" max="2" width="10.90625" customWidth="1"/>
  </cols>
  <sheetData>
    <row r="1" spans="1:2" x14ac:dyDescent="0.35">
      <c r="A1" t="s">
        <v>12</v>
      </c>
      <c r="B1" t="s">
        <v>42</v>
      </c>
    </row>
    <row r="2" spans="1:2" x14ac:dyDescent="0.35">
      <c r="A2" t="s">
        <v>13</v>
      </c>
      <c r="B2">
        <v>74</v>
      </c>
    </row>
    <row r="3" spans="1:2" x14ac:dyDescent="0.35">
      <c r="A3" t="s">
        <v>15</v>
      </c>
      <c r="B3" s="1">
        <v>44062</v>
      </c>
    </row>
    <row r="4" spans="1:2" x14ac:dyDescent="0.35">
      <c r="A4" t="s">
        <v>16</v>
      </c>
      <c r="B4" t="s">
        <v>29</v>
      </c>
    </row>
    <row r="5" spans="1:2" x14ac:dyDescent="0.35">
      <c r="A5" t="s">
        <v>14</v>
      </c>
      <c r="B5">
        <v>10</v>
      </c>
    </row>
    <row r="6" spans="1:2" x14ac:dyDescent="0.35">
      <c r="A6" t="s">
        <v>26</v>
      </c>
      <c r="B6">
        <v>81</v>
      </c>
    </row>
    <row r="7" spans="1:2" x14ac:dyDescent="0.35">
      <c r="A7" t="s">
        <v>27</v>
      </c>
      <c r="B7">
        <f>AVERAGE('Field Plots'!C:C)*10</f>
        <v>93.827160493827165</v>
      </c>
    </row>
    <row r="8" spans="1:2" x14ac:dyDescent="0.35">
      <c r="A8" t="s">
        <v>28</v>
      </c>
      <c r="B8">
        <f>AVERAGE('Field Plots'!D:D)*10</f>
        <v>30.74074074074074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E44E-C1EC-4C3A-B453-3D85BA1278FE}">
  <dimension ref="A1:Z250"/>
  <sheetViews>
    <sheetView tabSelected="1" workbookViewId="0">
      <pane ySplit="1" topLeftCell="A5" activePane="bottomLeft" state="frozen"/>
      <selection pane="bottomLeft" activeCell="J22" sqref="J22:J23"/>
    </sheetView>
  </sheetViews>
  <sheetFormatPr defaultRowHeight="14.5" x14ac:dyDescent="0.35"/>
  <cols>
    <col min="5" max="5" width="16.1796875" bestFit="1" customWidth="1"/>
    <col min="6" max="6" width="17.453125" bestFit="1" customWidth="1"/>
    <col min="7" max="7" width="18" bestFit="1" customWidth="1"/>
    <col min="8" max="8" width="19.08984375" bestFit="1" customWidth="1"/>
    <col min="9" max="9" width="8.54296875" bestFit="1" customWidth="1"/>
    <col min="10" max="10" width="15.36328125" bestFit="1" customWidth="1"/>
    <col min="11" max="11" width="19.08984375" bestFit="1" customWidth="1"/>
    <col min="12" max="13" width="8.90625" bestFit="1" customWidth="1"/>
    <col min="14" max="14" width="9.81640625" bestFit="1" customWidth="1"/>
    <col min="15" max="16" width="8.90625" bestFit="1" customWidth="1"/>
    <col min="17" max="17" width="9.81640625" bestFit="1" customWidth="1"/>
    <col min="18" max="20" width="8.90625" bestFit="1" customWidth="1"/>
    <col min="21" max="21" width="10.81640625" bestFit="1" customWidth="1"/>
  </cols>
  <sheetData>
    <row r="1" spans="1:26" x14ac:dyDescent="0.35">
      <c r="A1" t="s">
        <v>0</v>
      </c>
      <c r="B1" t="s">
        <v>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44</v>
      </c>
      <c r="J1" t="s">
        <v>43</v>
      </c>
    </row>
    <row r="2" spans="1:26" x14ac:dyDescent="0.35">
      <c r="A2">
        <v>1</v>
      </c>
      <c r="B2">
        <v>3</v>
      </c>
      <c r="C2">
        <v>7</v>
      </c>
      <c r="D2">
        <v>7</v>
      </c>
      <c r="E2" t="s">
        <v>20</v>
      </c>
      <c r="F2" t="s">
        <v>10</v>
      </c>
      <c r="G2" t="s">
        <v>33</v>
      </c>
      <c r="H2" t="s">
        <v>30</v>
      </c>
      <c r="I2" t="s">
        <v>45</v>
      </c>
    </row>
    <row r="3" spans="1:26" x14ac:dyDescent="0.35">
      <c r="A3">
        <v>2</v>
      </c>
      <c r="B3">
        <v>3</v>
      </c>
      <c r="C3">
        <v>8</v>
      </c>
      <c r="D3">
        <v>6</v>
      </c>
      <c r="E3" t="s">
        <v>10</v>
      </c>
      <c r="F3" t="s">
        <v>23</v>
      </c>
      <c r="G3" t="s">
        <v>33</v>
      </c>
      <c r="H3" t="s">
        <v>38</v>
      </c>
      <c r="I3" t="s">
        <v>45</v>
      </c>
      <c r="Z3" s="3"/>
    </row>
    <row r="4" spans="1:26" x14ac:dyDescent="0.35">
      <c r="A4">
        <v>3</v>
      </c>
      <c r="B4">
        <v>3</v>
      </c>
      <c r="C4">
        <v>14</v>
      </c>
      <c r="D4">
        <v>4</v>
      </c>
      <c r="E4" t="s">
        <v>23</v>
      </c>
      <c r="F4" t="s">
        <v>10</v>
      </c>
      <c r="G4" t="s">
        <v>39</v>
      </c>
      <c r="H4" t="s">
        <v>30</v>
      </c>
      <c r="I4" t="s">
        <v>45</v>
      </c>
      <c r="Z4" s="3"/>
    </row>
    <row r="5" spans="1:26" x14ac:dyDescent="0.35">
      <c r="A5">
        <v>4</v>
      </c>
      <c r="B5">
        <v>3</v>
      </c>
      <c r="C5">
        <v>9</v>
      </c>
      <c r="D5">
        <v>2</v>
      </c>
      <c r="E5" t="s">
        <v>10</v>
      </c>
      <c r="F5" t="s">
        <v>20</v>
      </c>
      <c r="G5" t="s">
        <v>33</v>
      </c>
      <c r="H5" t="s">
        <v>33</v>
      </c>
      <c r="I5" t="s">
        <v>45</v>
      </c>
      <c r="Z5" s="3"/>
    </row>
    <row r="6" spans="1:26" x14ac:dyDescent="0.35">
      <c r="A6">
        <v>5</v>
      </c>
      <c r="B6">
        <v>3</v>
      </c>
      <c r="C6">
        <v>5</v>
      </c>
      <c r="D6">
        <v>3</v>
      </c>
      <c r="E6" t="s">
        <v>10</v>
      </c>
      <c r="F6" t="s">
        <v>21</v>
      </c>
      <c r="G6" t="s">
        <v>33</v>
      </c>
      <c r="H6" t="s">
        <v>30</v>
      </c>
      <c r="I6" t="s">
        <v>45</v>
      </c>
      <c r="Z6" s="3"/>
    </row>
    <row r="7" spans="1:26" x14ac:dyDescent="0.35">
      <c r="A7">
        <v>6</v>
      </c>
      <c r="B7">
        <v>3</v>
      </c>
      <c r="C7">
        <v>10</v>
      </c>
      <c r="D7">
        <v>5</v>
      </c>
      <c r="E7" t="s">
        <v>10</v>
      </c>
      <c r="F7" t="s">
        <v>23</v>
      </c>
      <c r="G7" t="s">
        <v>30</v>
      </c>
      <c r="H7" t="s">
        <v>30</v>
      </c>
      <c r="I7" t="s">
        <v>45</v>
      </c>
      <c r="Z7" s="3"/>
    </row>
    <row r="8" spans="1:26" x14ac:dyDescent="0.35">
      <c r="A8">
        <v>7</v>
      </c>
      <c r="B8">
        <v>3</v>
      </c>
      <c r="C8">
        <v>7</v>
      </c>
      <c r="D8">
        <v>6</v>
      </c>
      <c r="E8" t="s">
        <v>10</v>
      </c>
      <c r="F8" t="s">
        <v>10</v>
      </c>
      <c r="G8" t="s">
        <v>33</v>
      </c>
      <c r="H8" t="s">
        <v>30</v>
      </c>
      <c r="I8" t="s">
        <v>45</v>
      </c>
      <c r="Z8" s="3"/>
    </row>
    <row r="9" spans="1:26" x14ac:dyDescent="0.35">
      <c r="A9">
        <v>8</v>
      </c>
      <c r="B9">
        <v>3</v>
      </c>
      <c r="C9">
        <v>15</v>
      </c>
      <c r="D9">
        <v>7</v>
      </c>
      <c r="E9" t="s">
        <v>20</v>
      </c>
      <c r="F9" t="s">
        <v>10</v>
      </c>
      <c r="G9" t="s">
        <v>34</v>
      </c>
      <c r="H9" t="s">
        <v>33</v>
      </c>
      <c r="I9" t="s">
        <v>45</v>
      </c>
      <c r="Z9" s="3"/>
    </row>
    <row r="10" spans="1:26" x14ac:dyDescent="0.35">
      <c r="A10">
        <v>9</v>
      </c>
      <c r="B10">
        <v>3</v>
      </c>
      <c r="C10">
        <v>7</v>
      </c>
      <c r="D10">
        <v>12</v>
      </c>
      <c r="E10" t="s">
        <v>10</v>
      </c>
      <c r="F10" t="s">
        <v>10</v>
      </c>
      <c r="G10" t="s">
        <v>30</v>
      </c>
      <c r="H10" t="s">
        <v>30</v>
      </c>
      <c r="I10" t="s">
        <v>45</v>
      </c>
      <c r="Z10" s="3"/>
    </row>
    <row r="11" spans="1:26" x14ac:dyDescent="0.35">
      <c r="A11">
        <v>10</v>
      </c>
      <c r="B11">
        <v>3</v>
      </c>
      <c r="C11">
        <v>9</v>
      </c>
      <c r="D11">
        <v>7</v>
      </c>
      <c r="E11" t="s">
        <v>21</v>
      </c>
      <c r="F11" t="s">
        <v>21</v>
      </c>
      <c r="G11" t="s">
        <v>33</v>
      </c>
      <c r="H11" t="s">
        <v>33</v>
      </c>
      <c r="I11" t="s">
        <v>45</v>
      </c>
      <c r="Z11" s="3"/>
    </row>
    <row r="12" spans="1:26" x14ac:dyDescent="0.35">
      <c r="A12">
        <v>11</v>
      </c>
      <c r="B12">
        <v>3</v>
      </c>
      <c r="C12">
        <v>9</v>
      </c>
      <c r="D12">
        <v>1</v>
      </c>
      <c r="E12" t="s">
        <v>10</v>
      </c>
      <c r="F12" t="s">
        <v>20</v>
      </c>
      <c r="G12" t="s">
        <v>36</v>
      </c>
      <c r="H12" t="s">
        <v>34</v>
      </c>
      <c r="I12" t="s">
        <v>45</v>
      </c>
      <c r="Z12" s="3"/>
    </row>
    <row r="13" spans="1:26" x14ac:dyDescent="0.35">
      <c r="A13">
        <v>12</v>
      </c>
      <c r="B13">
        <v>3</v>
      </c>
      <c r="C13">
        <v>11</v>
      </c>
      <c r="D13">
        <v>1</v>
      </c>
      <c r="E13" t="s">
        <v>20</v>
      </c>
      <c r="F13" t="s">
        <v>21</v>
      </c>
      <c r="G13" t="s">
        <v>35</v>
      </c>
      <c r="H13" t="s">
        <v>30</v>
      </c>
      <c r="I13" t="s">
        <v>45</v>
      </c>
      <c r="Z13" s="3"/>
    </row>
    <row r="14" spans="1:26" x14ac:dyDescent="0.35">
      <c r="A14">
        <v>13</v>
      </c>
      <c r="B14">
        <v>3</v>
      </c>
      <c r="C14">
        <v>2</v>
      </c>
      <c r="D14">
        <v>2</v>
      </c>
      <c r="E14" t="s">
        <v>20</v>
      </c>
      <c r="F14" t="s">
        <v>10</v>
      </c>
      <c r="G14" t="s">
        <v>35</v>
      </c>
      <c r="H14" t="s">
        <v>30</v>
      </c>
      <c r="I14" t="s">
        <v>45</v>
      </c>
      <c r="Z14" s="3"/>
    </row>
    <row r="15" spans="1:26" x14ac:dyDescent="0.35">
      <c r="A15">
        <v>14</v>
      </c>
      <c r="B15">
        <v>3</v>
      </c>
      <c r="C15">
        <v>15</v>
      </c>
      <c r="D15">
        <v>2</v>
      </c>
      <c r="E15" t="s">
        <v>20</v>
      </c>
      <c r="F15" t="s">
        <v>20</v>
      </c>
      <c r="G15" t="s">
        <v>33</v>
      </c>
      <c r="H15" t="s">
        <v>33</v>
      </c>
      <c r="I15" t="s">
        <v>45</v>
      </c>
      <c r="Z15" s="3"/>
    </row>
    <row r="16" spans="1:26" x14ac:dyDescent="0.35">
      <c r="A16">
        <v>15</v>
      </c>
      <c r="B16">
        <v>3</v>
      </c>
      <c r="C16">
        <v>9</v>
      </c>
      <c r="D16">
        <v>3</v>
      </c>
      <c r="E16" t="s">
        <v>20</v>
      </c>
      <c r="F16" t="s">
        <v>10</v>
      </c>
      <c r="G16" t="s">
        <v>33</v>
      </c>
      <c r="H16" t="s">
        <v>32</v>
      </c>
      <c r="I16" t="s">
        <v>45</v>
      </c>
    </row>
    <row r="17" spans="1:11" x14ac:dyDescent="0.35">
      <c r="A17">
        <v>16</v>
      </c>
      <c r="B17">
        <v>5</v>
      </c>
      <c r="C17">
        <v>5</v>
      </c>
      <c r="D17">
        <v>1</v>
      </c>
      <c r="E17" t="s">
        <v>20</v>
      </c>
      <c r="F17" t="s">
        <v>10</v>
      </c>
      <c r="G17" t="s">
        <v>36</v>
      </c>
      <c r="H17" t="s">
        <v>33</v>
      </c>
      <c r="I17" t="s">
        <v>45</v>
      </c>
      <c r="K17" s="3"/>
    </row>
    <row r="18" spans="1:11" x14ac:dyDescent="0.35">
      <c r="A18">
        <v>17</v>
      </c>
      <c r="B18">
        <v>5</v>
      </c>
      <c r="C18">
        <v>8</v>
      </c>
      <c r="D18">
        <v>5</v>
      </c>
      <c r="E18" t="s">
        <v>20</v>
      </c>
      <c r="F18" t="s">
        <v>21</v>
      </c>
      <c r="G18" t="s">
        <v>33</v>
      </c>
      <c r="H18" t="s">
        <v>32</v>
      </c>
      <c r="I18" t="s">
        <v>45</v>
      </c>
    </row>
    <row r="19" spans="1:11" x14ac:dyDescent="0.35">
      <c r="A19">
        <v>18</v>
      </c>
      <c r="B19">
        <v>5</v>
      </c>
      <c r="C19">
        <v>8</v>
      </c>
      <c r="D19">
        <v>4</v>
      </c>
      <c r="E19" t="s">
        <v>20</v>
      </c>
      <c r="F19" t="s">
        <v>21</v>
      </c>
      <c r="G19" t="s">
        <v>34</v>
      </c>
      <c r="H19" t="s">
        <v>34</v>
      </c>
      <c r="I19" t="s">
        <v>45</v>
      </c>
    </row>
    <row r="20" spans="1:11" x14ac:dyDescent="0.35">
      <c r="A20">
        <v>19</v>
      </c>
      <c r="B20">
        <v>5</v>
      </c>
      <c r="C20">
        <v>13</v>
      </c>
      <c r="D20">
        <v>2</v>
      </c>
      <c r="E20" t="s">
        <v>10</v>
      </c>
      <c r="F20" t="s">
        <v>10</v>
      </c>
      <c r="G20" t="s">
        <v>32</v>
      </c>
      <c r="H20" t="s">
        <v>30</v>
      </c>
      <c r="I20" t="s">
        <v>45</v>
      </c>
    </row>
    <row r="21" spans="1:11" x14ac:dyDescent="0.35">
      <c r="A21">
        <v>20</v>
      </c>
      <c r="B21">
        <v>5</v>
      </c>
      <c r="C21">
        <v>4</v>
      </c>
      <c r="D21">
        <v>4</v>
      </c>
      <c r="E21" t="s">
        <v>10</v>
      </c>
      <c r="F21" t="s">
        <v>23</v>
      </c>
      <c r="G21" t="s">
        <v>30</v>
      </c>
      <c r="H21" t="s">
        <v>38</v>
      </c>
      <c r="I21" t="s">
        <v>45</v>
      </c>
    </row>
    <row r="22" spans="1:11" x14ac:dyDescent="0.35">
      <c r="A22">
        <v>21</v>
      </c>
      <c r="B22">
        <v>5</v>
      </c>
      <c r="C22">
        <v>7</v>
      </c>
      <c r="D22">
        <v>2</v>
      </c>
      <c r="E22" t="s">
        <v>11</v>
      </c>
      <c r="F22" t="s">
        <v>20</v>
      </c>
      <c r="G22" t="s">
        <v>36</v>
      </c>
      <c r="H22" t="s">
        <v>35</v>
      </c>
      <c r="I22" t="s">
        <v>45</v>
      </c>
      <c r="J22" t="s">
        <v>48</v>
      </c>
    </row>
    <row r="23" spans="1:11" x14ac:dyDescent="0.35">
      <c r="A23">
        <v>22</v>
      </c>
      <c r="B23">
        <v>5</v>
      </c>
      <c r="C23">
        <v>5</v>
      </c>
      <c r="D23">
        <v>2</v>
      </c>
      <c r="E23" t="s">
        <v>10</v>
      </c>
      <c r="F23" t="s">
        <v>11</v>
      </c>
      <c r="G23" t="s">
        <v>30</v>
      </c>
      <c r="H23" t="s">
        <v>30</v>
      </c>
      <c r="I23" t="s">
        <v>45</v>
      </c>
      <c r="J23" t="s">
        <v>48</v>
      </c>
    </row>
    <row r="24" spans="1:11" x14ac:dyDescent="0.35">
      <c r="A24">
        <v>23</v>
      </c>
      <c r="B24">
        <v>8</v>
      </c>
      <c r="C24">
        <v>7</v>
      </c>
      <c r="D24">
        <v>1</v>
      </c>
      <c r="E24" t="s">
        <v>21</v>
      </c>
      <c r="F24" t="s">
        <v>10</v>
      </c>
      <c r="G24" t="s">
        <v>34</v>
      </c>
      <c r="H24" t="s">
        <v>30</v>
      </c>
      <c r="I24" t="s">
        <v>45</v>
      </c>
    </row>
    <row r="25" spans="1:11" x14ac:dyDescent="0.35">
      <c r="A25">
        <v>24</v>
      </c>
      <c r="B25">
        <v>8</v>
      </c>
      <c r="C25">
        <v>10</v>
      </c>
      <c r="D25">
        <v>6</v>
      </c>
      <c r="E25" t="s">
        <v>10</v>
      </c>
      <c r="F25" t="s">
        <v>21</v>
      </c>
      <c r="G25" t="s">
        <v>34</v>
      </c>
      <c r="H25" t="s">
        <v>30</v>
      </c>
      <c r="I25" t="s">
        <v>45</v>
      </c>
    </row>
    <row r="26" spans="1:11" x14ac:dyDescent="0.35">
      <c r="A26">
        <v>25</v>
      </c>
      <c r="B26">
        <v>8</v>
      </c>
      <c r="C26">
        <v>13</v>
      </c>
      <c r="D26">
        <v>3</v>
      </c>
      <c r="E26" t="s">
        <v>10</v>
      </c>
      <c r="F26" t="s">
        <v>21</v>
      </c>
      <c r="G26" t="s">
        <v>33</v>
      </c>
      <c r="H26" t="s">
        <v>33</v>
      </c>
      <c r="I26" t="s">
        <v>45</v>
      </c>
    </row>
    <row r="27" spans="1:11" x14ac:dyDescent="0.35">
      <c r="A27">
        <v>26</v>
      </c>
      <c r="B27">
        <v>8</v>
      </c>
      <c r="C27">
        <v>5</v>
      </c>
      <c r="D27">
        <v>5</v>
      </c>
      <c r="E27" t="s">
        <v>10</v>
      </c>
      <c r="F27" t="s">
        <v>10</v>
      </c>
      <c r="G27" t="s">
        <v>30</v>
      </c>
      <c r="H27" t="s">
        <v>30</v>
      </c>
      <c r="I27" t="s">
        <v>45</v>
      </c>
    </row>
    <row r="28" spans="1:11" x14ac:dyDescent="0.35">
      <c r="A28">
        <v>27</v>
      </c>
      <c r="B28">
        <v>8</v>
      </c>
      <c r="C28">
        <v>8</v>
      </c>
      <c r="D28">
        <v>7</v>
      </c>
      <c r="E28" t="s">
        <v>10</v>
      </c>
      <c r="F28" t="s">
        <v>23</v>
      </c>
      <c r="G28" t="s">
        <v>34</v>
      </c>
      <c r="H28" t="s">
        <v>38</v>
      </c>
      <c r="I28" t="s">
        <v>45</v>
      </c>
    </row>
    <row r="29" spans="1:11" x14ac:dyDescent="0.35">
      <c r="A29">
        <v>28</v>
      </c>
      <c r="B29">
        <v>8</v>
      </c>
      <c r="C29">
        <v>4</v>
      </c>
      <c r="D29">
        <v>7</v>
      </c>
      <c r="E29" t="s">
        <v>23</v>
      </c>
      <c r="F29" t="s">
        <v>10</v>
      </c>
      <c r="G29" t="s">
        <v>39</v>
      </c>
      <c r="H29" t="s">
        <v>30</v>
      </c>
      <c r="I29" t="s">
        <v>45</v>
      </c>
    </row>
    <row r="30" spans="1:11" x14ac:dyDescent="0.35">
      <c r="A30">
        <v>29</v>
      </c>
      <c r="B30">
        <v>8</v>
      </c>
      <c r="C30">
        <v>9</v>
      </c>
      <c r="D30">
        <v>2</v>
      </c>
      <c r="E30" t="s">
        <v>10</v>
      </c>
      <c r="F30" t="s">
        <v>23</v>
      </c>
      <c r="G30" t="s">
        <v>34</v>
      </c>
      <c r="H30" t="s">
        <v>38</v>
      </c>
      <c r="I30" t="s">
        <v>45</v>
      </c>
    </row>
    <row r="31" spans="1:11" x14ac:dyDescent="0.35">
      <c r="A31">
        <v>30</v>
      </c>
      <c r="B31">
        <v>1</v>
      </c>
      <c r="C31">
        <v>4</v>
      </c>
      <c r="D31">
        <v>2</v>
      </c>
      <c r="E31" t="s">
        <v>10</v>
      </c>
      <c r="F31" t="s">
        <v>19</v>
      </c>
      <c r="G31" t="s">
        <v>30</v>
      </c>
      <c r="H31" t="s">
        <v>19</v>
      </c>
      <c r="I31" t="s">
        <v>46</v>
      </c>
    </row>
    <row r="32" spans="1:11" x14ac:dyDescent="0.35">
      <c r="A32">
        <v>31</v>
      </c>
      <c r="B32">
        <v>1</v>
      </c>
      <c r="C32">
        <v>8</v>
      </c>
      <c r="D32">
        <v>9</v>
      </c>
      <c r="E32" t="s">
        <v>10</v>
      </c>
      <c r="F32" t="s">
        <v>20</v>
      </c>
      <c r="G32" t="s">
        <v>33</v>
      </c>
      <c r="H32" t="s">
        <v>33</v>
      </c>
      <c r="I32" t="s">
        <v>46</v>
      </c>
    </row>
    <row r="33" spans="1:9" x14ac:dyDescent="0.35">
      <c r="A33">
        <v>32</v>
      </c>
      <c r="B33">
        <v>1</v>
      </c>
      <c r="C33">
        <v>9</v>
      </c>
      <c r="D33">
        <v>1</v>
      </c>
      <c r="E33" t="s">
        <v>20</v>
      </c>
      <c r="F33" t="s">
        <v>20</v>
      </c>
      <c r="G33" t="s">
        <v>34</v>
      </c>
      <c r="H33" t="s">
        <v>33</v>
      </c>
      <c r="I33" t="s">
        <v>46</v>
      </c>
    </row>
    <row r="34" spans="1:9" x14ac:dyDescent="0.35">
      <c r="A34">
        <v>33</v>
      </c>
      <c r="B34">
        <v>1</v>
      </c>
      <c r="C34">
        <v>14</v>
      </c>
      <c r="D34">
        <v>0</v>
      </c>
      <c r="E34" t="s">
        <v>20</v>
      </c>
      <c r="F34" t="s">
        <v>10</v>
      </c>
      <c r="G34" t="s">
        <v>32</v>
      </c>
      <c r="H34" t="s">
        <v>32</v>
      </c>
      <c r="I34" t="s">
        <v>46</v>
      </c>
    </row>
    <row r="35" spans="1:9" x14ac:dyDescent="0.35">
      <c r="A35">
        <v>34</v>
      </c>
      <c r="B35">
        <v>1</v>
      </c>
      <c r="C35">
        <v>12</v>
      </c>
      <c r="D35">
        <v>0</v>
      </c>
      <c r="E35" t="s">
        <v>20</v>
      </c>
      <c r="F35" t="s">
        <v>20</v>
      </c>
      <c r="G35" t="s">
        <v>32</v>
      </c>
      <c r="H35" t="s">
        <v>32</v>
      </c>
      <c r="I35" t="s">
        <v>46</v>
      </c>
    </row>
    <row r="36" spans="1:9" x14ac:dyDescent="0.35">
      <c r="A36">
        <v>35</v>
      </c>
      <c r="B36">
        <v>1</v>
      </c>
      <c r="C36">
        <v>7</v>
      </c>
      <c r="D36">
        <v>3</v>
      </c>
      <c r="E36" t="s">
        <v>10</v>
      </c>
      <c r="F36" t="s">
        <v>10</v>
      </c>
      <c r="G36" t="s">
        <v>32</v>
      </c>
      <c r="H36" t="s">
        <v>32</v>
      </c>
      <c r="I36" t="s">
        <v>46</v>
      </c>
    </row>
    <row r="37" spans="1:9" x14ac:dyDescent="0.35">
      <c r="A37">
        <v>36</v>
      </c>
      <c r="B37">
        <v>1</v>
      </c>
      <c r="C37">
        <v>3</v>
      </c>
      <c r="D37">
        <v>2</v>
      </c>
      <c r="E37" t="s">
        <v>20</v>
      </c>
      <c r="F37" t="s">
        <v>10</v>
      </c>
      <c r="G37" t="s">
        <v>34</v>
      </c>
      <c r="H37" t="s">
        <v>30</v>
      </c>
      <c r="I37" t="s">
        <v>46</v>
      </c>
    </row>
    <row r="38" spans="1:9" x14ac:dyDescent="0.35">
      <c r="A38">
        <v>37</v>
      </c>
      <c r="B38">
        <v>1</v>
      </c>
      <c r="C38">
        <v>12</v>
      </c>
      <c r="D38">
        <v>1</v>
      </c>
      <c r="E38" t="s">
        <v>20</v>
      </c>
      <c r="F38" t="s">
        <v>20</v>
      </c>
      <c r="G38" t="s">
        <v>33</v>
      </c>
      <c r="H38" t="s">
        <v>33</v>
      </c>
      <c r="I38" t="s">
        <v>46</v>
      </c>
    </row>
    <row r="39" spans="1:9" x14ac:dyDescent="0.35">
      <c r="A39">
        <v>38</v>
      </c>
      <c r="B39">
        <v>1</v>
      </c>
      <c r="C39">
        <v>15</v>
      </c>
      <c r="D39">
        <v>3</v>
      </c>
      <c r="E39" t="s">
        <v>20</v>
      </c>
      <c r="F39" t="s">
        <v>20</v>
      </c>
      <c r="G39" t="s">
        <v>32</v>
      </c>
      <c r="H39" t="s">
        <v>32</v>
      </c>
      <c r="I39" t="s">
        <v>46</v>
      </c>
    </row>
    <row r="40" spans="1:9" x14ac:dyDescent="0.35">
      <c r="A40">
        <v>39</v>
      </c>
      <c r="B40">
        <v>1</v>
      </c>
      <c r="C40">
        <v>13</v>
      </c>
      <c r="D40">
        <v>1</v>
      </c>
      <c r="E40" t="s">
        <v>20</v>
      </c>
      <c r="F40" t="s">
        <v>10</v>
      </c>
      <c r="G40" t="s">
        <v>33</v>
      </c>
      <c r="H40" t="s">
        <v>30</v>
      </c>
      <c r="I40" t="s">
        <v>46</v>
      </c>
    </row>
    <row r="41" spans="1:9" x14ac:dyDescent="0.35">
      <c r="A41">
        <v>40</v>
      </c>
      <c r="B41">
        <v>1</v>
      </c>
      <c r="C41">
        <v>10</v>
      </c>
      <c r="D41">
        <v>0</v>
      </c>
      <c r="E41" t="s">
        <v>20</v>
      </c>
      <c r="F41" t="s">
        <v>10</v>
      </c>
      <c r="G41" t="s">
        <v>33</v>
      </c>
      <c r="H41" t="s">
        <v>32</v>
      </c>
      <c r="I41" t="s">
        <v>46</v>
      </c>
    </row>
    <row r="42" spans="1:9" x14ac:dyDescent="0.35">
      <c r="A42">
        <v>41</v>
      </c>
      <c r="B42">
        <v>1</v>
      </c>
      <c r="C42">
        <v>4</v>
      </c>
      <c r="D42">
        <v>1</v>
      </c>
      <c r="E42" t="s">
        <v>23</v>
      </c>
      <c r="F42" t="s">
        <v>23</v>
      </c>
      <c r="G42" t="s">
        <v>39</v>
      </c>
      <c r="H42" t="s">
        <v>38</v>
      </c>
      <c r="I42" t="s">
        <v>46</v>
      </c>
    </row>
    <row r="43" spans="1:9" x14ac:dyDescent="0.35">
      <c r="A43">
        <v>42</v>
      </c>
      <c r="B43">
        <v>4</v>
      </c>
      <c r="C43">
        <v>7</v>
      </c>
      <c r="D43">
        <v>2</v>
      </c>
      <c r="E43" t="s">
        <v>23</v>
      </c>
      <c r="F43" t="s">
        <v>23</v>
      </c>
      <c r="G43" t="s">
        <v>39</v>
      </c>
      <c r="H43" t="s">
        <v>38</v>
      </c>
      <c r="I43" t="s">
        <v>46</v>
      </c>
    </row>
    <row r="44" spans="1:9" x14ac:dyDescent="0.35">
      <c r="A44">
        <v>43</v>
      </c>
      <c r="B44">
        <v>4</v>
      </c>
      <c r="C44">
        <v>13</v>
      </c>
      <c r="D44">
        <v>6</v>
      </c>
      <c r="E44" t="s">
        <v>10</v>
      </c>
      <c r="F44" t="s">
        <v>10</v>
      </c>
      <c r="G44" t="s">
        <v>32</v>
      </c>
      <c r="H44" t="s">
        <v>30</v>
      </c>
      <c r="I44" t="s">
        <v>46</v>
      </c>
    </row>
    <row r="45" spans="1:9" x14ac:dyDescent="0.35">
      <c r="A45">
        <v>44</v>
      </c>
      <c r="B45">
        <v>4</v>
      </c>
      <c r="C45">
        <v>16</v>
      </c>
      <c r="D45">
        <v>4</v>
      </c>
      <c r="E45" t="s">
        <v>20</v>
      </c>
      <c r="F45" t="s">
        <v>10</v>
      </c>
      <c r="G45" t="s">
        <v>33</v>
      </c>
      <c r="H45" t="s">
        <v>30</v>
      </c>
      <c r="I45" t="s">
        <v>46</v>
      </c>
    </row>
    <row r="46" spans="1:9" x14ac:dyDescent="0.35">
      <c r="A46">
        <v>45</v>
      </c>
      <c r="B46">
        <v>4</v>
      </c>
      <c r="C46">
        <v>11</v>
      </c>
      <c r="D46">
        <v>4</v>
      </c>
      <c r="E46" t="s">
        <v>20</v>
      </c>
      <c r="F46" t="s">
        <v>20</v>
      </c>
      <c r="G46" t="s">
        <v>33</v>
      </c>
      <c r="H46" t="s">
        <v>33</v>
      </c>
      <c r="I46" t="s">
        <v>46</v>
      </c>
    </row>
    <row r="47" spans="1:9" x14ac:dyDescent="0.35">
      <c r="A47">
        <v>46</v>
      </c>
      <c r="B47">
        <v>4</v>
      </c>
      <c r="C47">
        <v>6</v>
      </c>
      <c r="D47">
        <v>1</v>
      </c>
      <c r="E47" t="s">
        <v>20</v>
      </c>
      <c r="F47" t="s">
        <v>10</v>
      </c>
      <c r="G47" t="s">
        <v>33</v>
      </c>
      <c r="H47" t="s">
        <v>33</v>
      </c>
      <c r="I47" t="s">
        <v>46</v>
      </c>
    </row>
    <row r="48" spans="1:9" x14ac:dyDescent="0.35">
      <c r="A48">
        <v>47</v>
      </c>
      <c r="B48">
        <v>4</v>
      </c>
      <c r="C48">
        <v>11</v>
      </c>
      <c r="D48">
        <v>1</v>
      </c>
      <c r="E48" t="s">
        <v>10</v>
      </c>
      <c r="F48" t="s">
        <v>20</v>
      </c>
      <c r="G48" t="s">
        <v>34</v>
      </c>
      <c r="H48" t="s">
        <v>32</v>
      </c>
      <c r="I48" t="s">
        <v>46</v>
      </c>
    </row>
    <row r="49" spans="1:9" x14ac:dyDescent="0.35">
      <c r="A49">
        <v>48</v>
      </c>
      <c r="B49">
        <v>7</v>
      </c>
      <c r="C49">
        <v>6</v>
      </c>
      <c r="D49">
        <v>1</v>
      </c>
      <c r="E49" t="s">
        <v>20</v>
      </c>
      <c r="F49" t="s">
        <v>10</v>
      </c>
      <c r="G49" t="s">
        <v>34</v>
      </c>
      <c r="H49" t="s">
        <v>30</v>
      </c>
      <c r="I49" t="s">
        <v>46</v>
      </c>
    </row>
    <row r="50" spans="1:9" x14ac:dyDescent="0.35">
      <c r="A50">
        <v>49</v>
      </c>
      <c r="B50">
        <v>7</v>
      </c>
      <c r="C50">
        <v>7</v>
      </c>
      <c r="D50">
        <v>4</v>
      </c>
      <c r="E50" t="s">
        <v>10</v>
      </c>
      <c r="F50" t="s">
        <v>23</v>
      </c>
      <c r="G50" t="s">
        <v>33</v>
      </c>
      <c r="H50" t="s">
        <v>38</v>
      </c>
      <c r="I50" t="s">
        <v>46</v>
      </c>
    </row>
    <row r="51" spans="1:9" x14ac:dyDescent="0.35">
      <c r="A51">
        <v>50</v>
      </c>
      <c r="B51">
        <v>7</v>
      </c>
      <c r="C51">
        <v>8</v>
      </c>
      <c r="D51">
        <v>2</v>
      </c>
      <c r="E51" t="s">
        <v>21</v>
      </c>
      <c r="F51" t="s">
        <v>20</v>
      </c>
      <c r="G51" t="s">
        <v>32</v>
      </c>
      <c r="H51" t="s">
        <v>32</v>
      </c>
      <c r="I51" t="s">
        <v>46</v>
      </c>
    </row>
    <row r="52" spans="1:9" x14ac:dyDescent="0.35">
      <c r="A52">
        <v>51</v>
      </c>
      <c r="B52">
        <v>7</v>
      </c>
      <c r="C52">
        <v>11</v>
      </c>
      <c r="D52">
        <v>4</v>
      </c>
      <c r="E52" t="s">
        <v>21</v>
      </c>
      <c r="F52" t="s">
        <v>10</v>
      </c>
      <c r="G52" t="s">
        <v>32</v>
      </c>
      <c r="H52" t="s">
        <v>30</v>
      </c>
      <c r="I52" t="s">
        <v>46</v>
      </c>
    </row>
    <row r="53" spans="1:9" x14ac:dyDescent="0.35">
      <c r="A53">
        <v>52</v>
      </c>
      <c r="B53">
        <v>7</v>
      </c>
      <c r="C53">
        <v>13</v>
      </c>
      <c r="D53">
        <v>3</v>
      </c>
      <c r="E53" t="s">
        <v>20</v>
      </c>
      <c r="F53" t="s">
        <v>10</v>
      </c>
      <c r="G53" t="s">
        <v>32</v>
      </c>
      <c r="H53" t="s">
        <v>32</v>
      </c>
      <c r="I53" t="s">
        <v>46</v>
      </c>
    </row>
    <row r="54" spans="1:9" x14ac:dyDescent="0.35">
      <c r="A54">
        <v>53</v>
      </c>
      <c r="B54">
        <v>7</v>
      </c>
      <c r="C54">
        <v>13</v>
      </c>
      <c r="D54">
        <v>2</v>
      </c>
      <c r="E54" t="s">
        <v>21</v>
      </c>
      <c r="F54" t="s">
        <v>20</v>
      </c>
      <c r="G54" t="s">
        <v>33</v>
      </c>
      <c r="H54" t="s">
        <v>32</v>
      </c>
      <c r="I54" t="s">
        <v>46</v>
      </c>
    </row>
    <row r="55" spans="1:9" x14ac:dyDescent="0.35">
      <c r="A55">
        <v>54</v>
      </c>
      <c r="B55">
        <v>7</v>
      </c>
      <c r="C55">
        <v>4</v>
      </c>
      <c r="D55">
        <v>5</v>
      </c>
      <c r="E55" t="s">
        <v>20</v>
      </c>
      <c r="F55" t="s">
        <v>23</v>
      </c>
      <c r="G55" t="s">
        <v>34</v>
      </c>
      <c r="H55" t="s">
        <v>38</v>
      </c>
      <c r="I55" t="s">
        <v>46</v>
      </c>
    </row>
    <row r="56" spans="1:9" x14ac:dyDescent="0.35">
      <c r="A56">
        <v>55</v>
      </c>
      <c r="B56">
        <v>7</v>
      </c>
      <c r="C56">
        <v>7</v>
      </c>
      <c r="D56">
        <v>4</v>
      </c>
      <c r="E56" t="s">
        <v>20</v>
      </c>
      <c r="F56" t="s">
        <v>19</v>
      </c>
      <c r="G56" t="s">
        <v>30</v>
      </c>
      <c r="H56" t="s">
        <v>19</v>
      </c>
      <c r="I56" t="s">
        <v>46</v>
      </c>
    </row>
    <row r="57" spans="1:9" x14ac:dyDescent="0.35">
      <c r="A57">
        <v>56</v>
      </c>
      <c r="B57">
        <v>7</v>
      </c>
      <c r="C57">
        <v>10</v>
      </c>
      <c r="D57">
        <v>1</v>
      </c>
      <c r="E57" t="s">
        <v>21</v>
      </c>
      <c r="F57" t="s">
        <v>10</v>
      </c>
      <c r="G57" t="s">
        <v>32</v>
      </c>
      <c r="H57" t="s">
        <v>32</v>
      </c>
      <c r="I57" t="s">
        <v>46</v>
      </c>
    </row>
    <row r="58" spans="1:9" x14ac:dyDescent="0.35">
      <c r="A58">
        <v>57</v>
      </c>
      <c r="B58">
        <v>7</v>
      </c>
      <c r="C58">
        <v>11</v>
      </c>
      <c r="D58">
        <v>3</v>
      </c>
      <c r="E58" t="s">
        <v>20</v>
      </c>
      <c r="F58" t="s">
        <v>10</v>
      </c>
      <c r="G58" t="s">
        <v>33</v>
      </c>
      <c r="H58" t="s">
        <v>32</v>
      </c>
      <c r="I58" t="s">
        <v>46</v>
      </c>
    </row>
    <row r="59" spans="1:9" x14ac:dyDescent="0.35">
      <c r="A59">
        <v>58</v>
      </c>
      <c r="B59">
        <v>2</v>
      </c>
      <c r="C59">
        <v>3</v>
      </c>
      <c r="D59">
        <v>3</v>
      </c>
      <c r="E59" t="s">
        <v>23</v>
      </c>
      <c r="F59" t="s">
        <v>19</v>
      </c>
      <c r="G59" t="s">
        <v>37</v>
      </c>
      <c r="H59" t="s">
        <v>19</v>
      </c>
      <c r="I59" t="s">
        <v>47</v>
      </c>
    </row>
    <row r="60" spans="1:9" x14ac:dyDescent="0.35">
      <c r="A60">
        <v>59</v>
      </c>
      <c r="B60">
        <v>2</v>
      </c>
      <c r="C60">
        <v>7</v>
      </c>
      <c r="D60">
        <v>2</v>
      </c>
      <c r="E60" t="s">
        <v>20</v>
      </c>
      <c r="F60" t="s">
        <v>23</v>
      </c>
      <c r="G60" t="s">
        <v>32</v>
      </c>
      <c r="H60" t="s">
        <v>37</v>
      </c>
      <c r="I60" t="s">
        <v>47</v>
      </c>
    </row>
    <row r="61" spans="1:9" x14ac:dyDescent="0.35">
      <c r="A61">
        <v>60</v>
      </c>
      <c r="B61">
        <v>2</v>
      </c>
      <c r="C61">
        <v>8</v>
      </c>
      <c r="D61">
        <v>1</v>
      </c>
      <c r="E61" t="s">
        <v>20</v>
      </c>
      <c r="F61" t="s">
        <v>19</v>
      </c>
      <c r="G61" t="s">
        <v>33</v>
      </c>
      <c r="H61" t="s">
        <v>19</v>
      </c>
      <c r="I61" t="s">
        <v>47</v>
      </c>
    </row>
    <row r="62" spans="1:9" x14ac:dyDescent="0.35">
      <c r="A62">
        <v>61</v>
      </c>
      <c r="B62">
        <v>2</v>
      </c>
      <c r="C62">
        <v>5</v>
      </c>
      <c r="D62">
        <v>3</v>
      </c>
      <c r="E62" t="s">
        <v>21</v>
      </c>
      <c r="F62" t="s">
        <v>23</v>
      </c>
      <c r="G62" t="s">
        <v>32</v>
      </c>
      <c r="H62" t="s">
        <v>37</v>
      </c>
      <c r="I62" t="s">
        <v>47</v>
      </c>
    </row>
    <row r="63" spans="1:9" x14ac:dyDescent="0.35">
      <c r="A63">
        <v>62</v>
      </c>
      <c r="B63">
        <v>2</v>
      </c>
      <c r="C63">
        <v>7</v>
      </c>
      <c r="D63">
        <v>1</v>
      </c>
      <c r="E63" t="s">
        <v>10</v>
      </c>
      <c r="F63" t="s">
        <v>20</v>
      </c>
      <c r="G63" t="s">
        <v>34</v>
      </c>
      <c r="H63" t="s">
        <v>32</v>
      </c>
      <c r="I63" t="s">
        <v>47</v>
      </c>
    </row>
    <row r="64" spans="1:9" x14ac:dyDescent="0.35">
      <c r="A64">
        <v>63</v>
      </c>
      <c r="B64">
        <v>2</v>
      </c>
      <c r="C64">
        <v>9</v>
      </c>
      <c r="D64">
        <v>2</v>
      </c>
      <c r="E64" t="s">
        <v>20</v>
      </c>
      <c r="F64" t="s">
        <v>20</v>
      </c>
      <c r="G64" t="s">
        <v>33</v>
      </c>
      <c r="H64" t="s">
        <v>33</v>
      </c>
      <c r="I64" t="s">
        <v>47</v>
      </c>
    </row>
    <row r="65" spans="1:9" x14ac:dyDescent="0.35">
      <c r="A65">
        <v>64</v>
      </c>
      <c r="B65">
        <v>2</v>
      </c>
      <c r="C65">
        <v>18</v>
      </c>
      <c r="D65">
        <v>2</v>
      </c>
      <c r="E65" t="s">
        <v>20</v>
      </c>
      <c r="F65" t="s">
        <v>10</v>
      </c>
      <c r="G65" t="s">
        <v>32</v>
      </c>
      <c r="H65" t="s">
        <v>31</v>
      </c>
      <c r="I65" t="s">
        <v>47</v>
      </c>
    </row>
    <row r="66" spans="1:9" x14ac:dyDescent="0.35">
      <c r="A66">
        <v>65</v>
      </c>
      <c r="B66">
        <v>2</v>
      </c>
      <c r="C66">
        <v>8</v>
      </c>
      <c r="D66">
        <v>5</v>
      </c>
      <c r="E66" t="s">
        <v>19</v>
      </c>
      <c r="F66" t="s">
        <v>19</v>
      </c>
      <c r="G66" t="s">
        <v>19</v>
      </c>
      <c r="H66" t="s">
        <v>19</v>
      </c>
      <c r="I66" t="s">
        <v>47</v>
      </c>
    </row>
    <row r="67" spans="1:9" x14ac:dyDescent="0.35">
      <c r="A67">
        <v>66</v>
      </c>
      <c r="B67">
        <v>2</v>
      </c>
      <c r="C67">
        <v>6</v>
      </c>
      <c r="D67">
        <v>0</v>
      </c>
      <c r="E67" t="s">
        <v>10</v>
      </c>
      <c r="F67" t="s">
        <v>19</v>
      </c>
      <c r="G67" t="s">
        <v>33</v>
      </c>
      <c r="H67" t="s">
        <v>19</v>
      </c>
      <c r="I67" t="s">
        <v>47</v>
      </c>
    </row>
    <row r="68" spans="1:9" x14ac:dyDescent="0.35">
      <c r="A68">
        <v>67</v>
      </c>
      <c r="B68">
        <v>2</v>
      </c>
      <c r="C68">
        <v>14</v>
      </c>
      <c r="D68">
        <v>2</v>
      </c>
      <c r="E68" t="s">
        <v>20</v>
      </c>
      <c r="F68" t="s">
        <v>20</v>
      </c>
      <c r="G68" t="s">
        <v>32</v>
      </c>
      <c r="H68" t="s">
        <v>32</v>
      </c>
      <c r="I68" t="s">
        <v>47</v>
      </c>
    </row>
    <row r="69" spans="1:9" x14ac:dyDescent="0.35">
      <c r="A69">
        <v>68</v>
      </c>
      <c r="B69">
        <v>2</v>
      </c>
      <c r="C69">
        <v>7</v>
      </c>
      <c r="D69">
        <v>1</v>
      </c>
      <c r="E69" t="s">
        <v>10</v>
      </c>
      <c r="F69" t="s">
        <v>10</v>
      </c>
      <c r="G69" t="s">
        <v>31</v>
      </c>
      <c r="H69" t="s">
        <v>31</v>
      </c>
      <c r="I69" t="s">
        <v>47</v>
      </c>
    </row>
    <row r="70" spans="1:9" x14ac:dyDescent="0.35">
      <c r="A70">
        <v>69</v>
      </c>
      <c r="B70">
        <v>2</v>
      </c>
      <c r="C70">
        <v>13</v>
      </c>
      <c r="D70">
        <v>4</v>
      </c>
      <c r="E70" t="s">
        <v>10</v>
      </c>
      <c r="F70" t="s">
        <v>20</v>
      </c>
      <c r="G70" t="s">
        <v>34</v>
      </c>
      <c r="H70" t="s">
        <v>33</v>
      </c>
      <c r="I70" t="s">
        <v>47</v>
      </c>
    </row>
    <row r="71" spans="1:9" x14ac:dyDescent="0.35">
      <c r="A71">
        <v>70</v>
      </c>
      <c r="B71">
        <v>2</v>
      </c>
      <c r="C71">
        <v>21</v>
      </c>
      <c r="D71">
        <v>1</v>
      </c>
      <c r="E71" t="s">
        <v>20</v>
      </c>
      <c r="F71" t="s">
        <v>20</v>
      </c>
      <c r="G71" t="s">
        <v>34</v>
      </c>
      <c r="H71" t="s">
        <v>34</v>
      </c>
      <c r="I71" t="s">
        <v>47</v>
      </c>
    </row>
    <row r="72" spans="1:9" x14ac:dyDescent="0.35">
      <c r="A72">
        <v>71</v>
      </c>
      <c r="B72">
        <v>6</v>
      </c>
      <c r="C72">
        <v>20</v>
      </c>
      <c r="D72">
        <v>2</v>
      </c>
      <c r="E72" t="s">
        <v>21</v>
      </c>
      <c r="F72" t="s">
        <v>21</v>
      </c>
      <c r="G72" t="s">
        <v>32</v>
      </c>
      <c r="H72" t="s">
        <v>32</v>
      </c>
      <c r="I72" t="s">
        <v>47</v>
      </c>
    </row>
    <row r="73" spans="1:9" x14ac:dyDescent="0.35">
      <c r="A73">
        <v>72</v>
      </c>
      <c r="B73">
        <v>6</v>
      </c>
      <c r="C73">
        <v>14</v>
      </c>
      <c r="D73">
        <v>2</v>
      </c>
      <c r="E73" t="s">
        <v>21</v>
      </c>
      <c r="F73" t="s">
        <v>21</v>
      </c>
      <c r="G73" t="s">
        <v>33</v>
      </c>
      <c r="H73" t="s">
        <v>32</v>
      </c>
      <c r="I73" t="s">
        <v>47</v>
      </c>
    </row>
    <row r="74" spans="1:9" x14ac:dyDescent="0.35">
      <c r="A74">
        <v>73</v>
      </c>
      <c r="B74">
        <v>6</v>
      </c>
      <c r="C74">
        <v>13</v>
      </c>
      <c r="D74">
        <v>3</v>
      </c>
      <c r="E74" t="s">
        <v>21</v>
      </c>
      <c r="F74" t="s">
        <v>20</v>
      </c>
      <c r="G74" t="s">
        <v>32</v>
      </c>
      <c r="H74" t="s">
        <v>32</v>
      </c>
      <c r="I74" t="s">
        <v>47</v>
      </c>
    </row>
    <row r="75" spans="1:9" x14ac:dyDescent="0.35">
      <c r="A75">
        <v>74</v>
      </c>
      <c r="B75">
        <v>6</v>
      </c>
      <c r="C75">
        <v>11</v>
      </c>
      <c r="D75">
        <v>3</v>
      </c>
      <c r="E75" t="s">
        <v>19</v>
      </c>
      <c r="F75" t="s">
        <v>19</v>
      </c>
      <c r="G75" t="s">
        <v>19</v>
      </c>
      <c r="H75" t="s">
        <v>19</v>
      </c>
      <c r="I75" t="s">
        <v>47</v>
      </c>
    </row>
    <row r="76" spans="1:9" x14ac:dyDescent="0.35">
      <c r="A76">
        <v>75</v>
      </c>
      <c r="B76">
        <v>6</v>
      </c>
      <c r="C76">
        <v>12</v>
      </c>
      <c r="D76">
        <v>3</v>
      </c>
      <c r="E76" t="s">
        <v>21</v>
      </c>
      <c r="F76" t="s">
        <v>21</v>
      </c>
      <c r="G76" t="s">
        <v>33</v>
      </c>
      <c r="H76" t="s">
        <v>32</v>
      </c>
      <c r="I76" t="s">
        <v>47</v>
      </c>
    </row>
    <row r="77" spans="1:9" x14ac:dyDescent="0.35">
      <c r="A77">
        <v>76</v>
      </c>
      <c r="B77">
        <v>6</v>
      </c>
      <c r="C77">
        <v>13</v>
      </c>
      <c r="D77">
        <v>5</v>
      </c>
      <c r="E77" t="s">
        <v>21</v>
      </c>
      <c r="F77" t="s">
        <v>10</v>
      </c>
      <c r="G77" t="s">
        <v>32</v>
      </c>
      <c r="H77" t="s">
        <v>30</v>
      </c>
      <c r="I77" t="s">
        <v>47</v>
      </c>
    </row>
    <row r="78" spans="1:9" x14ac:dyDescent="0.35">
      <c r="A78">
        <v>77</v>
      </c>
      <c r="B78">
        <v>6</v>
      </c>
      <c r="C78">
        <v>9</v>
      </c>
      <c r="D78">
        <v>1</v>
      </c>
      <c r="E78" t="s">
        <v>10</v>
      </c>
      <c r="F78" t="s">
        <v>19</v>
      </c>
      <c r="G78" t="s">
        <v>31</v>
      </c>
      <c r="H78" t="s">
        <v>19</v>
      </c>
      <c r="I78" t="s">
        <v>47</v>
      </c>
    </row>
    <row r="79" spans="1:9" x14ac:dyDescent="0.35">
      <c r="A79">
        <v>78</v>
      </c>
      <c r="B79">
        <v>6</v>
      </c>
      <c r="C79">
        <v>5</v>
      </c>
      <c r="D79">
        <v>5</v>
      </c>
      <c r="E79" t="s">
        <v>21</v>
      </c>
      <c r="F79" t="s">
        <v>21</v>
      </c>
      <c r="G79" t="s">
        <v>30</v>
      </c>
      <c r="H79" t="s">
        <v>30</v>
      </c>
      <c r="I79" t="s">
        <v>47</v>
      </c>
    </row>
    <row r="80" spans="1:9" x14ac:dyDescent="0.35">
      <c r="A80">
        <v>79</v>
      </c>
      <c r="B80">
        <v>6</v>
      </c>
      <c r="C80">
        <v>18</v>
      </c>
      <c r="D80">
        <v>2</v>
      </c>
      <c r="E80" t="s">
        <v>21</v>
      </c>
      <c r="F80" t="s">
        <v>20</v>
      </c>
      <c r="G80" t="s">
        <v>32</v>
      </c>
      <c r="H80" t="s">
        <v>32</v>
      </c>
      <c r="I80" t="s">
        <v>47</v>
      </c>
    </row>
    <row r="81" spans="1:9" x14ac:dyDescent="0.35">
      <c r="A81">
        <v>80</v>
      </c>
      <c r="B81">
        <v>6</v>
      </c>
      <c r="C81">
        <v>5</v>
      </c>
      <c r="D81">
        <v>6</v>
      </c>
      <c r="E81" t="s">
        <v>20</v>
      </c>
      <c r="F81" t="s">
        <v>19</v>
      </c>
      <c r="G81" t="s">
        <v>30</v>
      </c>
      <c r="H81" t="s">
        <v>19</v>
      </c>
      <c r="I81" t="s">
        <v>47</v>
      </c>
    </row>
    <row r="82" spans="1:9" x14ac:dyDescent="0.35">
      <c r="A82">
        <v>81</v>
      </c>
      <c r="B82">
        <v>6</v>
      </c>
      <c r="C82">
        <v>6</v>
      </c>
      <c r="D82">
        <v>1</v>
      </c>
      <c r="E82" t="s">
        <v>20</v>
      </c>
      <c r="F82" t="s">
        <v>19</v>
      </c>
      <c r="G82" t="s">
        <v>34</v>
      </c>
      <c r="H82" t="s">
        <v>19</v>
      </c>
      <c r="I82" t="s">
        <v>47</v>
      </c>
    </row>
    <row r="83" spans="1:9" x14ac:dyDescent="0.35">
      <c r="A83">
        <v>82</v>
      </c>
    </row>
    <row r="84" spans="1:9" x14ac:dyDescent="0.35">
      <c r="A84">
        <v>83</v>
      </c>
    </row>
    <row r="85" spans="1:9" x14ac:dyDescent="0.35">
      <c r="A85">
        <v>84</v>
      </c>
    </row>
    <row r="86" spans="1:9" x14ac:dyDescent="0.35">
      <c r="A86">
        <v>85</v>
      </c>
    </row>
    <row r="87" spans="1:9" x14ac:dyDescent="0.35">
      <c r="A87">
        <v>86</v>
      </c>
    </row>
    <row r="88" spans="1:9" x14ac:dyDescent="0.35">
      <c r="A88">
        <v>87</v>
      </c>
    </row>
    <row r="89" spans="1:9" x14ac:dyDescent="0.35">
      <c r="A89">
        <v>88</v>
      </c>
    </row>
    <row r="90" spans="1:9" x14ac:dyDescent="0.35">
      <c r="A90">
        <v>89</v>
      </c>
    </row>
    <row r="91" spans="1:9" x14ac:dyDescent="0.35">
      <c r="A91">
        <v>90</v>
      </c>
    </row>
    <row r="92" spans="1:9" x14ac:dyDescent="0.35">
      <c r="A92">
        <v>91</v>
      </c>
    </row>
    <row r="93" spans="1:9" x14ac:dyDescent="0.35">
      <c r="A93">
        <v>92</v>
      </c>
    </row>
    <row r="94" spans="1:9" x14ac:dyDescent="0.35">
      <c r="A94">
        <v>93</v>
      </c>
    </row>
    <row r="95" spans="1:9" x14ac:dyDescent="0.35">
      <c r="A95">
        <v>94</v>
      </c>
    </row>
    <row r="96" spans="1:9" x14ac:dyDescent="0.35">
      <c r="A96">
        <v>95</v>
      </c>
    </row>
    <row r="97" spans="1:1" x14ac:dyDescent="0.35">
      <c r="A97">
        <v>96</v>
      </c>
    </row>
    <row r="98" spans="1:1" x14ac:dyDescent="0.35">
      <c r="A98">
        <v>97</v>
      </c>
    </row>
    <row r="99" spans="1:1" x14ac:dyDescent="0.35">
      <c r="A99">
        <v>98</v>
      </c>
    </row>
    <row r="100" spans="1:1" x14ac:dyDescent="0.35">
      <c r="A100">
        <v>99</v>
      </c>
    </row>
    <row r="101" spans="1:1" x14ac:dyDescent="0.35">
      <c r="A101">
        <v>100</v>
      </c>
    </row>
    <row r="102" spans="1:1" x14ac:dyDescent="0.35">
      <c r="A102">
        <v>101</v>
      </c>
    </row>
    <row r="103" spans="1:1" x14ac:dyDescent="0.35">
      <c r="A103">
        <v>102</v>
      </c>
    </row>
    <row r="104" spans="1:1" x14ac:dyDescent="0.35">
      <c r="A104">
        <v>103</v>
      </c>
    </row>
    <row r="105" spans="1:1" x14ac:dyDescent="0.35">
      <c r="A105">
        <v>104</v>
      </c>
    </row>
    <row r="106" spans="1:1" x14ac:dyDescent="0.35">
      <c r="A106">
        <v>105</v>
      </c>
    </row>
    <row r="107" spans="1:1" x14ac:dyDescent="0.35">
      <c r="A107">
        <v>106</v>
      </c>
    </row>
    <row r="108" spans="1:1" x14ac:dyDescent="0.35">
      <c r="A108">
        <v>107</v>
      </c>
    </row>
    <row r="109" spans="1:1" x14ac:dyDescent="0.35">
      <c r="A109">
        <v>108</v>
      </c>
    </row>
    <row r="110" spans="1:1" x14ac:dyDescent="0.35">
      <c r="A110">
        <v>109</v>
      </c>
    </row>
    <row r="111" spans="1:1" x14ac:dyDescent="0.35">
      <c r="A111">
        <v>110</v>
      </c>
    </row>
    <row r="112" spans="1:1" x14ac:dyDescent="0.35">
      <c r="A112">
        <v>111</v>
      </c>
    </row>
    <row r="113" spans="1:1" x14ac:dyDescent="0.35">
      <c r="A113">
        <v>112</v>
      </c>
    </row>
    <row r="114" spans="1:1" x14ac:dyDescent="0.35">
      <c r="A114">
        <v>113</v>
      </c>
    </row>
    <row r="115" spans="1:1" x14ac:dyDescent="0.35">
      <c r="A115">
        <v>114</v>
      </c>
    </row>
    <row r="116" spans="1:1" x14ac:dyDescent="0.35">
      <c r="A116">
        <v>115</v>
      </c>
    </row>
    <row r="117" spans="1:1" x14ac:dyDescent="0.35">
      <c r="A117">
        <v>116</v>
      </c>
    </row>
    <row r="118" spans="1:1" x14ac:dyDescent="0.35">
      <c r="A118">
        <v>117</v>
      </c>
    </row>
    <row r="119" spans="1:1" x14ac:dyDescent="0.35">
      <c r="A119">
        <v>118</v>
      </c>
    </row>
    <row r="120" spans="1:1" x14ac:dyDescent="0.35">
      <c r="A120">
        <v>119</v>
      </c>
    </row>
    <row r="121" spans="1:1" x14ac:dyDescent="0.35">
      <c r="A121">
        <v>120</v>
      </c>
    </row>
    <row r="122" spans="1:1" x14ac:dyDescent="0.35">
      <c r="A122">
        <v>121</v>
      </c>
    </row>
    <row r="123" spans="1:1" x14ac:dyDescent="0.35">
      <c r="A123">
        <v>122</v>
      </c>
    </row>
    <row r="124" spans="1:1" x14ac:dyDescent="0.35">
      <c r="A124">
        <v>123</v>
      </c>
    </row>
    <row r="125" spans="1:1" x14ac:dyDescent="0.35">
      <c r="A125">
        <v>124</v>
      </c>
    </row>
    <row r="126" spans="1:1" x14ac:dyDescent="0.35">
      <c r="A126">
        <v>125</v>
      </c>
    </row>
    <row r="127" spans="1:1" x14ac:dyDescent="0.35">
      <c r="A127">
        <v>126</v>
      </c>
    </row>
    <row r="128" spans="1:1" x14ac:dyDescent="0.35">
      <c r="A128">
        <v>127</v>
      </c>
    </row>
    <row r="129" spans="1:1" x14ac:dyDescent="0.35">
      <c r="A129">
        <v>128</v>
      </c>
    </row>
    <row r="130" spans="1:1" x14ac:dyDescent="0.35">
      <c r="A130">
        <v>129</v>
      </c>
    </row>
    <row r="131" spans="1:1" x14ac:dyDescent="0.35">
      <c r="A131">
        <v>130</v>
      </c>
    </row>
    <row r="132" spans="1:1" x14ac:dyDescent="0.35">
      <c r="A132">
        <v>131</v>
      </c>
    </row>
    <row r="133" spans="1:1" x14ac:dyDescent="0.35">
      <c r="A133">
        <v>132</v>
      </c>
    </row>
    <row r="134" spans="1:1" x14ac:dyDescent="0.35">
      <c r="A134">
        <v>133</v>
      </c>
    </row>
    <row r="135" spans="1:1" x14ac:dyDescent="0.35">
      <c r="A135">
        <v>134</v>
      </c>
    </row>
    <row r="136" spans="1:1" x14ac:dyDescent="0.35">
      <c r="A136">
        <v>135</v>
      </c>
    </row>
    <row r="137" spans="1:1" x14ac:dyDescent="0.35">
      <c r="A137">
        <v>136</v>
      </c>
    </row>
    <row r="138" spans="1:1" x14ac:dyDescent="0.35">
      <c r="A138">
        <v>137</v>
      </c>
    </row>
    <row r="139" spans="1:1" x14ac:dyDescent="0.35">
      <c r="A139">
        <v>138</v>
      </c>
    </row>
    <row r="140" spans="1:1" x14ac:dyDescent="0.35">
      <c r="A140">
        <v>139</v>
      </c>
    </row>
    <row r="141" spans="1:1" x14ac:dyDescent="0.35">
      <c r="A141">
        <v>140</v>
      </c>
    </row>
    <row r="142" spans="1:1" x14ac:dyDescent="0.35">
      <c r="A142">
        <v>141</v>
      </c>
    </row>
    <row r="143" spans="1:1" x14ac:dyDescent="0.35">
      <c r="A143">
        <v>142</v>
      </c>
    </row>
    <row r="144" spans="1:1" x14ac:dyDescent="0.35">
      <c r="A144">
        <v>143</v>
      </c>
    </row>
    <row r="145" spans="1:1" x14ac:dyDescent="0.35">
      <c r="A145">
        <v>144</v>
      </c>
    </row>
    <row r="146" spans="1:1" x14ac:dyDescent="0.35">
      <c r="A146">
        <v>145</v>
      </c>
    </row>
    <row r="147" spans="1:1" x14ac:dyDescent="0.35">
      <c r="A147">
        <v>146</v>
      </c>
    </row>
    <row r="148" spans="1:1" x14ac:dyDescent="0.35">
      <c r="A148">
        <v>147</v>
      </c>
    </row>
    <row r="149" spans="1:1" x14ac:dyDescent="0.35">
      <c r="A149">
        <v>148</v>
      </c>
    </row>
    <row r="150" spans="1:1" x14ac:dyDescent="0.35">
      <c r="A150">
        <v>149</v>
      </c>
    </row>
    <row r="151" spans="1:1" x14ac:dyDescent="0.35">
      <c r="A151">
        <v>150</v>
      </c>
    </row>
    <row r="152" spans="1:1" x14ac:dyDescent="0.35">
      <c r="A152">
        <v>151</v>
      </c>
    </row>
    <row r="153" spans="1:1" x14ac:dyDescent="0.35">
      <c r="A153">
        <v>152</v>
      </c>
    </row>
    <row r="154" spans="1:1" x14ac:dyDescent="0.35">
      <c r="A154">
        <v>153</v>
      </c>
    </row>
    <row r="155" spans="1:1" x14ac:dyDescent="0.35">
      <c r="A155">
        <v>154</v>
      </c>
    </row>
    <row r="156" spans="1:1" x14ac:dyDescent="0.35">
      <c r="A156">
        <v>155</v>
      </c>
    </row>
    <row r="157" spans="1:1" x14ac:dyDescent="0.35">
      <c r="A157">
        <v>156</v>
      </c>
    </row>
    <row r="158" spans="1:1" x14ac:dyDescent="0.35">
      <c r="A158">
        <v>157</v>
      </c>
    </row>
    <row r="159" spans="1:1" x14ac:dyDescent="0.35">
      <c r="A159">
        <v>158</v>
      </c>
    </row>
    <row r="160" spans="1:1" x14ac:dyDescent="0.35">
      <c r="A160">
        <v>159</v>
      </c>
    </row>
    <row r="161" spans="1:1" x14ac:dyDescent="0.35">
      <c r="A161">
        <v>160</v>
      </c>
    </row>
    <row r="162" spans="1:1" x14ac:dyDescent="0.35">
      <c r="A162">
        <v>161</v>
      </c>
    </row>
    <row r="163" spans="1:1" x14ac:dyDescent="0.35">
      <c r="A163">
        <v>162</v>
      </c>
    </row>
    <row r="164" spans="1:1" x14ac:dyDescent="0.35">
      <c r="A164">
        <v>163</v>
      </c>
    </row>
    <row r="165" spans="1:1" x14ac:dyDescent="0.35">
      <c r="A165">
        <v>164</v>
      </c>
    </row>
    <row r="166" spans="1:1" x14ac:dyDescent="0.35">
      <c r="A166">
        <v>165</v>
      </c>
    </row>
    <row r="167" spans="1:1" x14ac:dyDescent="0.35">
      <c r="A167">
        <v>166</v>
      </c>
    </row>
    <row r="168" spans="1:1" x14ac:dyDescent="0.35">
      <c r="A168">
        <v>167</v>
      </c>
    </row>
    <row r="169" spans="1:1" x14ac:dyDescent="0.35">
      <c r="A169">
        <v>168</v>
      </c>
    </row>
    <row r="170" spans="1:1" x14ac:dyDescent="0.35">
      <c r="A170">
        <v>169</v>
      </c>
    </row>
    <row r="171" spans="1:1" x14ac:dyDescent="0.35">
      <c r="A171">
        <v>170</v>
      </c>
    </row>
    <row r="172" spans="1:1" x14ac:dyDescent="0.35">
      <c r="A172">
        <v>171</v>
      </c>
    </row>
    <row r="173" spans="1:1" x14ac:dyDescent="0.35">
      <c r="A173">
        <v>172</v>
      </c>
    </row>
    <row r="174" spans="1:1" x14ac:dyDescent="0.35">
      <c r="A174">
        <v>173</v>
      </c>
    </row>
    <row r="175" spans="1:1" x14ac:dyDescent="0.35">
      <c r="A175">
        <v>174</v>
      </c>
    </row>
    <row r="176" spans="1:1" x14ac:dyDescent="0.35">
      <c r="A176">
        <v>175</v>
      </c>
    </row>
    <row r="177" spans="1:1" x14ac:dyDescent="0.35">
      <c r="A177">
        <v>176</v>
      </c>
    </row>
    <row r="178" spans="1:1" x14ac:dyDescent="0.35">
      <c r="A178">
        <v>177</v>
      </c>
    </row>
    <row r="179" spans="1:1" x14ac:dyDescent="0.35">
      <c r="A179">
        <v>178</v>
      </c>
    </row>
    <row r="180" spans="1:1" x14ac:dyDescent="0.35">
      <c r="A180">
        <v>179</v>
      </c>
    </row>
    <row r="181" spans="1:1" x14ac:dyDescent="0.35">
      <c r="A181">
        <v>180</v>
      </c>
    </row>
    <row r="182" spans="1:1" x14ac:dyDescent="0.35">
      <c r="A182">
        <v>181</v>
      </c>
    </row>
    <row r="183" spans="1:1" x14ac:dyDescent="0.35">
      <c r="A183">
        <v>182</v>
      </c>
    </row>
    <row r="184" spans="1:1" x14ac:dyDescent="0.35">
      <c r="A184">
        <v>183</v>
      </c>
    </row>
    <row r="185" spans="1:1" x14ac:dyDescent="0.35">
      <c r="A185">
        <v>184</v>
      </c>
    </row>
    <row r="186" spans="1:1" x14ac:dyDescent="0.35">
      <c r="A186">
        <v>185</v>
      </c>
    </row>
    <row r="187" spans="1:1" x14ac:dyDescent="0.35">
      <c r="A187">
        <v>186</v>
      </c>
    </row>
    <row r="188" spans="1:1" x14ac:dyDescent="0.35">
      <c r="A188">
        <v>187</v>
      </c>
    </row>
    <row r="189" spans="1:1" x14ac:dyDescent="0.35">
      <c r="A189">
        <v>188</v>
      </c>
    </row>
    <row r="190" spans="1:1" x14ac:dyDescent="0.35">
      <c r="A190">
        <v>189</v>
      </c>
    </row>
    <row r="191" spans="1:1" x14ac:dyDescent="0.35">
      <c r="A191">
        <v>190</v>
      </c>
    </row>
    <row r="192" spans="1:1" x14ac:dyDescent="0.35">
      <c r="A192">
        <v>191</v>
      </c>
    </row>
    <row r="193" spans="1:1" x14ac:dyDescent="0.35">
      <c r="A193">
        <v>192</v>
      </c>
    </row>
    <row r="194" spans="1:1" x14ac:dyDescent="0.35">
      <c r="A194">
        <v>193</v>
      </c>
    </row>
    <row r="195" spans="1:1" x14ac:dyDescent="0.35">
      <c r="A195">
        <v>194</v>
      </c>
    </row>
    <row r="196" spans="1:1" x14ac:dyDescent="0.35">
      <c r="A196">
        <v>195</v>
      </c>
    </row>
    <row r="197" spans="1:1" x14ac:dyDescent="0.35">
      <c r="A197">
        <v>196</v>
      </c>
    </row>
    <row r="198" spans="1:1" x14ac:dyDescent="0.35">
      <c r="A198">
        <v>197</v>
      </c>
    </row>
    <row r="199" spans="1:1" x14ac:dyDescent="0.35">
      <c r="A199">
        <v>198</v>
      </c>
    </row>
    <row r="200" spans="1:1" x14ac:dyDescent="0.35">
      <c r="A200">
        <v>199</v>
      </c>
    </row>
    <row r="201" spans="1:1" x14ac:dyDescent="0.35">
      <c r="A201">
        <v>200</v>
      </c>
    </row>
    <row r="202" spans="1:1" x14ac:dyDescent="0.35">
      <c r="A202">
        <v>201</v>
      </c>
    </row>
    <row r="203" spans="1:1" x14ac:dyDescent="0.35">
      <c r="A203">
        <v>202</v>
      </c>
    </row>
    <row r="204" spans="1:1" x14ac:dyDescent="0.35">
      <c r="A204">
        <v>203</v>
      </c>
    </row>
    <row r="205" spans="1:1" x14ac:dyDescent="0.35">
      <c r="A205">
        <v>204</v>
      </c>
    </row>
    <row r="206" spans="1:1" x14ac:dyDescent="0.35">
      <c r="A206">
        <v>205</v>
      </c>
    </row>
    <row r="207" spans="1:1" x14ac:dyDescent="0.35">
      <c r="A207">
        <v>206</v>
      </c>
    </row>
    <row r="208" spans="1:1" x14ac:dyDescent="0.35">
      <c r="A208">
        <v>207</v>
      </c>
    </row>
    <row r="209" spans="1:1" x14ac:dyDescent="0.35">
      <c r="A209">
        <v>208</v>
      </c>
    </row>
    <row r="210" spans="1:1" x14ac:dyDescent="0.35">
      <c r="A210">
        <v>209</v>
      </c>
    </row>
    <row r="211" spans="1:1" x14ac:dyDescent="0.35">
      <c r="A211">
        <v>210</v>
      </c>
    </row>
    <row r="212" spans="1:1" x14ac:dyDescent="0.35">
      <c r="A212">
        <v>211</v>
      </c>
    </row>
    <row r="213" spans="1:1" x14ac:dyDescent="0.35">
      <c r="A213">
        <v>212</v>
      </c>
    </row>
    <row r="214" spans="1:1" x14ac:dyDescent="0.35">
      <c r="A214">
        <v>213</v>
      </c>
    </row>
    <row r="215" spans="1:1" x14ac:dyDescent="0.35">
      <c r="A215">
        <v>214</v>
      </c>
    </row>
    <row r="216" spans="1:1" x14ac:dyDescent="0.35">
      <c r="A216">
        <v>215</v>
      </c>
    </row>
    <row r="217" spans="1:1" x14ac:dyDescent="0.35">
      <c r="A217">
        <v>216</v>
      </c>
    </row>
    <row r="218" spans="1:1" x14ac:dyDescent="0.35">
      <c r="A218">
        <v>217</v>
      </c>
    </row>
    <row r="219" spans="1:1" x14ac:dyDescent="0.35">
      <c r="A219">
        <v>218</v>
      </c>
    </row>
    <row r="220" spans="1:1" x14ac:dyDescent="0.35">
      <c r="A220">
        <v>219</v>
      </c>
    </row>
    <row r="221" spans="1:1" x14ac:dyDescent="0.35">
      <c r="A221">
        <v>220</v>
      </c>
    </row>
    <row r="222" spans="1:1" x14ac:dyDescent="0.35">
      <c r="A222">
        <v>221</v>
      </c>
    </row>
    <row r="223" spans="1:1" x14ac:dyDescent="0.35">
      <c r="A223">
        <v>222</v>
      </c>
    </row>
    <row r="224" spans="1:1" x14ac:dyDescent="0.35">
      <c r="A224">
        <v>223</v>
      </c>
    </row>
    <row r="225" spans="1:1" x14ac:dyDescent="0.35">
      <c r="A225">
        <v>224</v>
      </c>
    </row>
    <row r="226" spans="1:1" x14ac:dyDescent="0.35">
      <c r="A226">
        <v>225</v>
      </c>
    </row>
    <row r="227" spans="1:1" x14ac:dyDescent="0.35">
      <c r="A227">
        <v>226</v>
      </c>
    </row>
    <row r="228" spans="1:1" x14ac:dyDescent="0.35">
      <c r="A228">
        <v>227</v>
      </c>
    </row>
    <row r="229" spans="1:1" x14ac:dyDescent="0.35">
      <c r="A229">
        <v>228</v>
      </c>
    </row>
    <row r="230" spans="1:1" x14ac:dyDescent="0.35">
      <c r="A230">
        <v>229</v>
      </c>
    </row>
    <row r="231" spans="1:1" x14ac:dyDescent="0.35">
      <c r="A231">
        <v>230</v>
      </c>
    </row>
    <row r="232" spans="1:1" x14ac:dyDescent="0.35">
      <c r="A232">
        <v>231</v>
      </c>
    </row>
    <row r="233" spans="1:1" x14ac:dyDescent="0.35">
      <c r="A233">
        <v>232</v>
      </c>
    </row>
    <row r="234" spans="1:1" x14ac:dyDescent="0.35">
      <c r="A234">
        <v>233</v>
      </c>
    </row>
    <row r="235" spans="1:1" x14ac:dyDescent="0.35">
      <c r="A235">
        <v>234</v>
      </c>
    </row>
    <row r="236" spans="1:1" x14ac:dyDescent="0.35">
      <c r="A236">
        <v>235</v>
      </c>
    </row>
    <row r="237" spans="1:1" x14ac:dyDescent="0.35">
      <c r="A237">
        <v>236</v>
      </c>
    </row>
    <row r="238" spans="1:1" x14ac:dyDescent="0.35">
      <c r="A238">
        <v>237</v>
      </c>
    </row>
    <row r="239" spans="1:1" x14ac:dyDescent="0.35">
      <c r="A239">
        <v>238</v>
      </c>
    </row>
    <row r="240" spans="1:1" x14ac:dyDescent="0.35">
      <c r="A240">
        <v>239</v>
      </c>
    </row>
    <row r="241" spans="1:1" x14ac:dyDescent="0.35">
      <c r="A241">
        <v>240</v>
      </c>
    </row>
    <row r="242" spans="1:1" x14ac:dyDescent="0.35">
      <c r="A242">
        <v>241</v>
      </c>
    </row>
    <row r="243" spans="1:1" x14ac:dyDescent="0.35">
      <c r="A243">
        <v>242</v>
      </c>
    </row>
    <row r="244" spans="1:1" x14ac:dyDescent="0.35">
      <c r="A244">
        <v>243</v>
      </c>
    </row>
    <row r="245" spans="1:1" x14ac:dyDescent="0.35">
      <c r="A245">
        <v>244</v>
      </c>
    </row>
    <row r="246" spans="1:1" x14ac:dyDescent="0.35">
      <c r="A246">
        <v>245</v>
      </c>
    </row>
    <row r="247" spans="1:1" x14ac:dyDescent="0.35">
      <c r="A247">
        <v>246</v>
      </c>
    </row>
    <row r="248" spans="1:1" x14ac:dyDescent="0.35">
      <c r="A248">
        <v>247</v>
      </c>
    </row>
    <row r="249" spans="1:1" x14ac:dyDescent="0.35">
      <c r="A249">
        <v>248</v>
      </c>
    </row>
    <row r="250" spans="1:1" x14ac:dyDescent="0.35">
      <c r="A250">
        <v>249</v>
      </c>
    </row>
  </sheetData>
  <sortState xmlns:xlrd2="http://schemas.microsoft.com/office/spreadsheetml/2017/richdata2" ref="A2:Z251">
    <sortCondition ref="A2:A251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Invalid entry" promptTitle="Species" xr:uid="{6F236060-3326-4F6E-8FA4-87BF4B35FE3A}">
          <x14:formula1>
            <xm:f>Lists!$B$3:$B$11</xm:f>
          </x14:formula1>
          <xm:sqref>E86:F254 E2:F82</xm:sqref>
        </x14:dataValidation>
        <x14:dataValidation type="list" showInputMessage="1" showErrorMessage="1" errorTitle="Invalid entry" promptTitle="Size Class" xr:uid="{5DA1609E-1BD4-4C2B-86A2-5CFD47F6125A}">
          <x14:formula1>
            <xm:f>Lists!$C$3:$C$15</xm:f>
          </x14:formula1>
          <xm:sqref>I251:I254 G86:H254 G2:H82 G83:G85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48548-A4BB-478F-B6A8-5CB3CE126C3B}">
  <dimension ref="B2:P16"/>
  <sheetViews>
    <sheetView topLeftCell="A31" workbookViewId="0">
      <selection activeCell="O3" sqref="O3"/>
    </sheetView>
  </sheetViews>
  <sheetFormatPr defaultRowHeight="14.5" x14ac:dyDescent="0.35"/>
  <cols>
    <col min="2" max="2" width="19.08984375" bestFit="1" customWidth="1"/>
  </cols>
  <sheetData>
    <row r="2" spans="2:16" x14ac:dyDescent="0.35">
      <c r="B2" s="2"/>
      <c r="C2" s="2" t="s">
        <v>19</v>
      </c>
      <c r="D2" s="2" t="s">
        <v>31</v>
      </c>
      <c r="E2" s="2" t="s">
        <v>30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39</v>
      </c>
      <c r="N2" s="2" t="s">
        <v>40</v>
      </c>
      <c r="O2" s="2" t="s">
        <v>41</v>
      </c>
      <c r="P2" s="2" t="s">
        <v>17</v>
      </c>
    </row>
    <row r="3" spans="2:16" x14ac:dyDescent="0.35">
      <c r="B3" s="2" t="s">
        <v>19</v>
      </c>
      <c r="C3" s="3">
        <f>COUNTIFS('Field Plots'!$G:$G,"Bare Ground",'Field Plots'!$H:$H,"Bare Ground")/Metadata!$B$6</f>
        <v>2.4691358024691357E-2</v>
      </c>
      <c r="D3" s="3">
        <f>COUNTIFS('Field Plots'!$G:$G,"Seedlings &lt;2ft",'Field Plots'!$H:$H,"Bare Ground")/Metadata!$B$6</f>
        <v>1.2345679012345678E-2</v>
      </c>
      <c r="E3" s="3">
        <f>COUNTIFS('Field Plots'!$G:$G,"Saplings 2ft-5in",'Field Plots'!$H:$H,"Bare Ground")/Metadata!$B$6</f>
        <v>3.7037037037037035E-2</v>
      </c>
      <c r="F3" s="3">
        <f>COUNTIFS('Field Plots'!$G:$G,"Poles 5-8in",'Field Plots'!$H:$H,"Bare Ground")/Metadata!$B$6</f>
        <v>0</v>
      </c>
      <c r="G3" s="3">
        <f>COUNTIFS('Field Plots'!$G:$G,"SmallSL 8-12in",'Field Plots'!$H:$H,"Bare Ground")/Metadata!$B$6</f>
        <v>2.4691358024691357E-2</v>
      </c>
      <c r="H3" s="3">
        <f>COUNTIFS('Field Plots'!$G:$G,"MediumSL 12-16in",'Field Plots'!$H:$H,"Bare Ground")/Metadata!$B$6</f>
        <v>1.2345679012345678E-2</v>
      </c>
      <c r="I3" s="3">
        <f>COUNTIFS('Field Plots'!$G:$G,"LargeSL 16-20in",'Field Plots'!$H:$H,"Bare Ground")/Metadata!$B$6</f>
        <v>0</v>
      </c>
      <c r="J3" s="3">
        <f>COUNTIFS('Field Plots'!$G:$G,"XLargeSL &gt;20in",'Field Plots'!$H:$H,"Bare Ground")/Metadata!$B$6</f>
        <v>0</v>
      </c>
      <c r="K3" s="3">
        <f>COUNTIFS('Field Plots'!$G:$G,"Aspen Seedlings &lt;2ft",'Field Plots'!$H:$H,"Bare Ground")/Metadata!$B$6</f>
        <v>1.2345679012345678E-2</v>
      </c>
      <c r="L3" s="3">
        <f>COUNTIFS('Field Plots'!$G:$G,"Aspen Saplings 2ft-5in",'Field Plots'!$H:$H,"Bare Ground")/Metadata!$B$6</f>
        <v>0</v>
      </c>
      <c r="M3" s="3">
        <f>COUNTIFS('Field Plots'!$G:$G,"Aspen Small 5-7in",'Field Plots'!$H:$H,"Bare Ground")/Metadata!$B$6</f>
        <v>0</v>
      </c>
      <c r="N3" s="3">
        <f>COUNTIFS('Field Plots'!$G:$G,"Aspen Medium 7-10in",'Field Plots'!$H:$H,"Bare Ground")/Metadata!$B$6</f>
        <v>0</v>
      </c>
      <c r="O3" s="3">
        <f>COUNTIFS('Field Plots'!$G:$G,"Aspen Large &gt;10in",'Field Plots'!$H:$H,"Bare Ground")/Metadata!$B$6</f>
        <v>0</v>
      </c>
      <c r="P3" s="3">
        <f t="shared" ref="P3:P16" si="0">SUM(C3:O3)</f>
        <v>0.12345679012345678</v>
      </c>
    </row>
    <row r="4" spans="2:16" x14ac:dyDescent="0.35">
      <c r="B4" s="2" t="s">
        <v>31</v>
      </c>
      <c r="C4" s="3">
        <f>COUNTIFS('Field Plots'!$G:$G,"Bare Ground",'Field Plots'!$H:$H,"Seedlings &lt;2ft")/Metadata!$B$6</f>
        <v>0</v>
      </c>
      <c r="D4" s="3">
        <f>COUNTIFS('Field Plots'!$G:$G,"Seedlings &lt;2ft",'Field Plots'!$H:$H,"Seedlings &lt;2ft")/Metadata!$B$6</f>
        <v>1.2345679012345678E-2</v>
      </c>
      <c r="E4" s="3">
        <f>COUNTIFS('Field Plots'!$G:$G,"Saplings 2ft-5in",'Field Plots'!$H:$H,"Seedlings &lt;2ft")/Metadata!$B$6</f>
        <v>0</v>
      </c>
      <c r="F4" s="3">
        <f>COUNTIFS('Field Plots'!$G:$G,"Poles 5-8in",'Field Plots'!$H:$H,"Seedlings &lt;2ft")/Metadata!$B$6</f>
        <v>1.2345679012345678E-2</v>
      </c>
      <c r="G4" s="3">
        <f>COUNTIFS('Field Plots'!$G:$G,"SmallSL 8-12in",'Field Plots'!$H:$H,"Seedlings &lt;2ft")/Metadata!$B$6</f>
        <v>0</v>
      </c>
      <c r="H4" s="3">
        <f>COUNTIFS('Field Plots'!$G:$G,"MediumSL 12-16in",'Field Plots'!$H:$H,"Seedlings &lt;2ft")/Metadata!$B$6</f>
        <v>0</v>
      </c>
      <c r="I4" s="3">
        <f>COUNTIFS('Field Plots'!$G:$G,"LargeSL 16-20in",'Field Plots'!$H:$H,"Seedlings &lt;2ft")/Metadata!$B$6</f>
        <v>0</v>
      </c>
      <c r="J4" s="3">
        <f>COUNTIFS('Field Plots'!$G:$G,"XLargeSL &gt;20in",'Field Plots'!$H:$H,"Seedlings &lt;2ft")/Metadata!$B$6</f>
        <v>0</v>
      </c>
      <c r="K4" s="3">
        <f>COUNTIFS('Field Plots'!$G:$G,"Aspen Seedlings &lt;2ft",'Field Plots'!$H:$H,"Seedlings &lt;2ft")/Metadata!$B$6</f>
        <v>0</v>
      </c>
      <c r="L4" s="3">
        <f>COUNTIFS('Field Plots'!$G:$G,"Aspen Saplings 2ft-5in",'Field Plots'!$H:$H,"Seedlings &lt;2ft")/Metadata!$B$6</f>
        <v>0</v>
      </c>
      <c r="M4" s="3">
        <f>COUNTIFS('Field Plots'!$G:$G,"Aspen Small 5-7in",'Field Plots'!$H:$H,"Seedlings &lt;2ft")/Metadata!$B$6</f>
        <v>0</v>
      </c>
      <c r="N4" s="3">
        <f>COUNTIFS('Field Plots'!$G:$G,"Aspen Medium 7-10in",'Field Plots'!$H:$H,"Seedlings &lt;2ft")/Metadata!$B$6</f>
        <v>0</v>
      </c>
      <c r="O4" s="3">
        <f>COUNTIFS('Field Plots'!$G:$G,"Aspen Large &gt;10in",'Field Plots'!$H:$H,"Seedlings &lt;2ft")/Metadata!$B$6</f>
        <v>0</v>
      </c>
      <c r="P4" s="3">
        <f t="shared" si="0"/>
        <v>2.4691358024691357E-2</v>
      </c>
    </row>
    <row r="5" spans="2:16" x14ac:dyDescent="0.35">
      <c r="B5" s="2" t="s">
        <v>30</v>
      </c>
      <c r="C5" s="3">
        <f>COUNTIFS('Field Plots'!$G:$G,"Bare Ground",'Field Plots'!$H:$H,"Saplings 2ft-5in")/Metadata!$B$6</f>
        <v>0</v>
      </c>
      <c r="D5" s="3">
        <f>COUNTIFS('Field Plots'!$G:$G,"Seedlings &lt;2ft",'Field Plots'!$H:$H,"Saplings 2ft-5in")/Metadata!$B$6</f>
        <v>0</v>
      </c>
      <c r="E5" s="3">
        <f>COUNTIFS('Field Plots'!$G:$G,"Saplings 2ft-5in",'Field Plots'!$H:$H,"Saplings 2ft-5in")/Metadata!$B$6</f>
        <v>6.1728395061728392E-2</v>
      </c>
      <c r="F5" s="3">
        <f>COUNTIFS('Field Plots'!$G:$G,"Poles 5-8in",'Field Plots'!$H:$H,"Saplings 2ft-5in")/Metadata!$B$6</f>
        <v>4.9382716049382713E-2</v>
      </c>
      <c r="G5" s="3">
        <f>COUNTIFS('Field Plots'!$G:$G,"SmallSL 8-12in",'Field Plots'!$H:$H,"Saplings 2ft-5in")/Metadata!$B$6</f>
        <v>6.1728395061728392E-2</v>
      </c>
      <c r="H5" s="3">
        <f>COUNTIFS('Field Plots'!$G:$G,"MediumSL 12-16in",'Field Plots'!$H:$H,"Saplings 2ft-5in")/Metadata!$B$6</f>
        <v>4.9382716049382713E-2</v>
      </c>
      <c r="I5" s="3">
        <f>COUNTIFS('Field Plots'!$G:$G,"LargeSL 16-20in",'Field Plots'!$H:$H,"Saplings 2ft-5in")/Metadata!$B$6</f>
        <v>2.4691358024691357E-2</v>
      </c>
      <c r="J5" s="3">
        <f>COUNTIFS('Field Plots'!$G:$G,"XLargeSL &gt;20in",'Field Plots'!$H:$H,"Saplings 2ft-5in")/Metadata!$B$6</f>
        <v>0</v>
      </c>
      <c r="K5" s="3">
        <f>COUNTIFS('Field Plots'!$G:$G,"Aspen Seedlings &lt;2ft",'Field Plots'!$H:$H,"Saplings 2ft-5in")/Metadata!$B$6</f>
        <v>0</v>
      </c>
      <c r="L5" s="3">
        <f>COUNTIFS('Field Plots'!$G:$G,"Aspen Saplings 2ft-5in",'Field Plots'!$H:$H,"Saplings 2ft-5in")/Metadata!$B$6</f>
        <v>0</v>
      </c>
      <c r="M5" s="3">
        <f>COUNTIFS('Field Plots'!$G:$G,"Aspen Small 5-7in",'Field Plots'!$H:$H,"Saplings 2ft-5in")/Metadata!$B$6</f>
        <v>2.4691358024691357E-2</v>
      </c>
      <c r="N5" s="3">
        <f>COUNTIFS('Field Plots'!$G:$G,"Aspen Medium 7-10in",'Field Plots'!$H:$H,"Saplings 2ft-5in")/Metadata!$B$6</f>
        <v>0</v>
      </c>
      <c r="O5" s="3">
        <f>COUNTIFS('Field Plots'!$G:$G,"Aspen Large &gt;10in",'Field Plots'!$H:$H,"Saplings 2ft-5in")/Metadata!$B$6</f>
        <v>0</v>
      </c>
      <c r="P5" s="3">
        <f t="shared" si="0"/>
        <v>0.27160493827160492</v>
      </c>
    </row>
    <row r="6" spans="2:16" x14ac:dyDescent="0.35">
      <c r="B6" s="2" t="s">
        <v>32</v>
      </c>
      <c r="C6" s="3">
        <f>COUNTIFS('Field Plots'!$G:$G,"Bare Ground",'Field Plots'!$H:$H,"Poles 5-8in")/Metadata!$B$6</f>
        <v>0</v>
      </c>
      <c r="D6" s="3">
        <f>COUNTIFS('Field Plots'!$G:$G,"Seedlings &lt;2ft",'Field Plots'!$H:$H,"Poles 5-8in")/Metadata!$B$6</f>
        <v>0</v>
      </c>
      <c r="E6" s="3">
        <f>COUNTIFS('Field Plots'!$G:$G,"Saplings 2ft-5in",'Field Plots'!$H:$H,"Poles 5-8in")/Metadata!$B$6</f>
        <v>0</v>
      </c>
      <c r="F6" s="3">
        <f>COUNTIFS('Field Plots'!$G:$G,"Poles 5-8in",'Field Plots'!$H:$H,"Poles 5-8in")/Metadata!$B$6</f>
        <v>0.13580246913580246</v>
      </c>
      <c r="G6" s="3">
        <f>COUNTIFS('Field Plots'!$G:$G,"SmallSL 8-12in",'Field Plots'!$H:$H,"Poles 5-8in")/Metadata!$B$6</f>
        <v>8.6419753086419748E-2</v>
      </c>
      <c r="H6" s="3">
        <f>COUNTIFS('Field Plots'!$G:$G,"MediumSL 12-16in",'Field Plots'!$H:$H,"Poles 5-8in")/Metadata!$B$6</f>
        <v>2.4691358024691357E-2</v>
      </c>
      <c r="I6" s="3">
        <f>COUNTIFS('Field Plots'!$G:$G,"LargeSL 16-20in",'Field Plots'!$H:$H,"Poles 5-8in")/Metadata!$B$6</f>
        <v>0</v>
      </c>
      <c r="J6" s="3">
        <f>COUNTIFS('Field Plots'!$G:$G,"XLargeSL &gt;20in",'Field Plots'!$H:$H,"Poles 5-8in")/Metadata!$B$6</f>
        <v>0</v>
      </c>
      <c r="K6" s="3">
        <f>COUNTIFS('Field Plots'!$G:$G,"Aspen Seedlings &lt;2ft",'Field Plots'!$H:$H,"Poles 5-8in")/Metadata!$B$6</f>
        <v>0</v>
      </c>
      <c r="L6" s="3">
        <f>COUNTIFS('Field Plots'!$G:$G,"Aspen Saplings 2ft-5in",'Field Plots'!$H:$H,"Poles 5-8in")/Metadata!$B$6</f>
        <v>0</v>
      </c>
      <c r="M6" s="3">
        <f>COUNTIFS('Field Plots'!$G:$G,"Aspen Small 5-7in",'Field Plots'!$H:$H,"Poles 5-8in")/Metadata!$B$6</f>
        <v>0</v>
      </c>
      <c r="N6" s="3">
        <f>COUNTIFS('Field Plots'!$G:$G,"Aspen Medium 7-10in",'Field Plots'!$H:$H,"Poles 5-8in")/Metadata!$B$6</f>
        <v>0</v>
      </c>
      <c r="O6" s="3">
        <f>COUNTIFS('Field Plots'!$G:$G,"Aspen Large &gt;10in",'Field Plots'!$H:$H,"Poles 5-8in")/Metadata!$B$6</f>
        <v>0</v>
      </c>
      <c r="P6" s="3">
        <f t="shared" si="0"/>
        <v>0.24691358024691357</v>
      </c>
    </row>
    <row r="7" spans="2:16" x14ac:dyDescent="0.35">
      <c r="B7" s="2" t="s">
        <v>33</v>
      </c>
      <c r="C7" s="3">
        <f>COUNTIFS('Field Plots'!$G:$G,"Bare Ground",'Field Plots'!$H:$H,"SmallSL 8-12in")/Metadata!$B$6</f>
        <v>0</v>
      </c>
      <c r="D7" s="3">
        <f>COUNTIFS('Field Plots'!$G:$G,"Seedlings &lt;2ft",'Field Plots'!$H:$H,"SmallSL 8-12in")/Metadata!$B$6</f>
        <v>0</v>
      </c>
      <c r="E7" s="3">
        <f>COUNTIFS('Field Plots'!$G:$G,"Saplings 2ft-5in",'Field Plots'!$H:$H,"SmallSL 8-12in")/Metadata!$B$6</f>
        <v>0</v>
      </c>
      <c r="F7" s="3">
        <f>COUNTIFS('Field Plots'!$G:$G,"Poles 5-8in",'Field Plots'!$H:$H,"SmallSL 8-12in")/Metadata!$B$6</f>
        <v>0</v>
      </c>
      <c r="G7" s="3">
        <f>COUNTIFS('Field Plots'!$G:$G,"SmallSL 8-12in",'Field Plots'!$H:$H,"SmallSL 8-12in")/Metadata!$B$6</f>
        <v>0.1111111111111111</v>
      </c>
      <c r="H7" s="3">
        <f>COUNTIFS('Field Plots'!$G:$G,"MediumSL 12-16in",'Field Plots'!$H:$H,"SmallSL 8-12in")/Metadata!$B$6</f>
        <v>3.7037037037037035E-2</v>
      </c>
      <c r="I7" s="3">
        <f>COUNTIFS('Field Plots'!$G:$G,"LargeSL 16-20in",'Field Plots'!$H:$H,"SmallSL 8-12in")/Metadata!$B$6</f>
        <v>0</v>
      </c>
      <c r="J7" s="3">
        <f>COUNTIFS('Field Plots'!$G:$G,"XLargeSL &gt;20in",'Field Plots'!$H:$H,"SmallSL 8-12in")/Metadata!$B$6</f>
        <v>1.2345679012345678E-2</v>
      </c>
      <c r="K7" s="3">
        <f>COUNTIFS('Field Plots'!$G:$G,"Aspen Seedlings &lt;2ft",'Field Plots'!$H:$H,"SmallSL 8-12in")/Metadata!$B$6</f>
        <v>0</v>
      </c>
      <c r="L7" s="3">
        <f>COUNTIFS('Field Plots'!$G:$G,"Aspen Saplings 2ft-5in",'Field Plots'!$H:$H,"SmallSL 8-12in")/Metadata!$B$6</f>
        <v>0</v>
      </c>
      <c r="M7" s="3">
        <f>COUNTIFS('Field Plots'!$G:$G,"Aspen Small 5-7in",'Field Plots'!$H:$H,"SmallSL 8-12in")/Metadata!$B$6</f>
        <v>0</v>
      </c>
      <c r="N7" s="3">
        <f>COUNTIFS('Field Plots'!$G:$G,"Aspen Medium 7-10in",'Field Plots'!$H:$H,"SmallSL 8-12in")/Metadata!$B$6</f>
        <v>0</v>
      </c>
      <c r="O7" s="3">
        <f>COUNTIFS('Field Plots'!$G:$G,"Aspen Large &gt;10in",'Field Plots'!$H:$H,"SmallSL 8-12in")/Metadata!$B$6</f>
        <v>0</v>
      </c>
      <c r="P7" s="3">
        <f t="shared" si="0"/>
        <v>0.16049382716049382</v>
      </c>
    </row>
    <row r="8" spans="2:16" x14ac:dyDescent="0.35">
      <c r="B8" s="2" t="s">
        <v>34</v>
      </c>
      <c r="C8" s="3">
        <f>COUNTIFS('Field Plots'!$G:$G,"Bare Ground",'Field Plots'!$H:$H,"MediumSL 12-16in")/Metadata!$B$6</f>
        <v>0</v>
      </c>
      <c r="D8" s="3">
        <f>COUNTIFS('Field Plots'!$G:$G,"Seedlings &lt;2ft",'Field Plots'!$H:$H,"MediumSL 12-16in")/Metadata!$B$6</f>
        <v>0</v>
      </c>
      <c r="E8" s="3">
        <f>COUNTIFS('Field Plots'!$G:$G,"Saplings 2ft-5in",'Field Plots'!$H:$H,"MediumSL 12-16in")/Metadata!$B$6</f>
        <v>0</v>
      </c>
      <c r="F8" s="3">
        <f>COUNTIFS('Field Plots'!$G:$G,"Poles 5-8in",'Field Plots'!$H:$H,"MediumSL 12-16in")/Metadata!$B$6</f>
        <v>0</v>
      </c>
      <c r="G8" s="3">
        <f>COUNTIFS('Field Plots'!$G:$G,"SmallSL 8-12in",'Field Plots'!$H:$H,"MediumSL 12-16in")/Metadata!$B$6</f>
        <v>0</v>
      </c>
      <c r="H8" s="3">
        <f>COUNTIFS('Field Plots'!$G:$G,"MediumSL 12-16in",'Field Plots'!$H:$H,"MediumSL 12-16in")/Metadata!$B$6</f>
        <v>2.4691358024691357E-2</v>
      </c>
      <c r="I8" s="3">
        <f>COUNTIFS('Field Plots'!$G:$G,"LargeSL 16-20in",'Field Plots'!$H:$H,"MediumSL 12-16in")/Metadata!$B$6</f>
        <v>0</v>
      </c>
      <c r="J8" s="3">
        <f>COUNTIFS('Field Plots'!$G:$G,"XLargeSL &gt;20in",'Field Plots'!$H:$H,"MediumSL 12-16in")/Metadata!$B$6</f>
        <v>1.2345679012345678E-2</v>
      </c>
      <c r="K8" s="3">
        <f>COUNTIFS('Field Plots'!$G:$G,"Aspen Seedlings &lt;2ft",'Field Plots'!$H:$H,"MediumSL 12-16in")/Metadata!$B$6</f>
        <v>0</v>
      </c>
      <c r="L8" s="3">
        <f>COUNTIFS('Field Plots'!$G:$G,"Aspen Saplings 2ft-5in",'Field Plots'!$H:$H,"MediumSL 12-16in")/Metadata!$B$6</f>
        <v>0</v>
      </c>
      <c r="M8" s="3">
        <f>COUNTIFS('Field Plots'!$G:$G,"Aspen Small 5-7in",'Field Plots'!$H:$H,"MediumSL 12-16in")/Metadata!$B$6</f>
        <v>0</v>
      </c>
      <c r="N8" s="3">
        <f>COUNTIFS('Field Plots'!$G:$G,"Aspen Medium 7-10in",'Field Plots'!$H:$H,"MediumSL 12-16in")/Metadata!$B$6</f>
        <v>0</v>
      </c>
      <c r="O8" s="3">
        <f>COUNTIFS('Field Plots'!$G:$G,"Aspen Large &gt;10in",'Field Plots'!$H:$H,"MediumSL 12-16in")/Metadata!$B$6</f>
        <v>0</v>
      </c>
      <c r="P8" s="3">
        <f t="shared" si="0"/>
        <v>3.7037037037037035E-2</v>
      </c>
    </row>
    <row r="9" spans="2:16" x14ac:dyDescent="0.35">
      <c r="B9" s="2" t="s">
        <v>35</v>
      </c>
      <c r="C9" s="3">
        <f>COUNTIFS('Field Plots'!$G:$G,"Bare Ground",'Field Plots'!$H:$H,"LargeSL 16-20in")/Metadata!$B$6</f>
        <v>0</v>
      </c>
      <c r="D9" s="3">
        <f>COUNTIFS('Field Plots'!$G:$G,"Seedlings &lt;2ft",'Field Plots'!$H:$H,"LargeSL 16-20in")/Metadata!$B$6</f>
        <v>0</v>
      </c>
      <c r="E9" s="3">
        <f>COUNTIFS('Field Plots'!$G:$G,"Saplings 2ft-5in",'Field Plots'!$H:$H,"LargeSL 16-20in")/Metadata!$B$6</f>
        <v>0</v>
      </c>
      <c r="F9" s="3">
        <f>COUNTIFS('Field Plots'!$G:$G,"Poles 5-8in",'Field Plots'!$H:$H,"LargeSL 16-20in")/Metadata!$B$6</f>
        <v>0</v>
      </c>
      <c r="G9" s="3">
        <f>COUNTIFS('Field Plots'!$G:$G,"SmallSL 8-12in",'Field Plots'!$H:$H,"LargeSL 16-20in")/Metadata!$B$6</f>
        <v>0</v>
      </c>
      <c r="H9" s="3">
        <f>COUNTIFS('Field Plots'!$G:$G,"MediumSL 12-16in",'Field Plots'!$H:$H,"LargeSL 16-20in")/Metadata!$B$6</f>
        <v>0</v>
      </c>
      <c r="I9" s="3">
        <f>COUNTIFS('Field Plots'!$G:$G,"LargeSL 16-20in",'Field Plots'!$H:$H,"LargeSL 16-20in")/Metadata!$B$6</f>
        <v>0</v>
      </c>
      <c r="J9" s="3">
        <f>COUNTIFS('Field Plots'!$G:$G,"XLargeSL &gt;20in",'Field Plots'!$H:$H,"LargeSL 16-20in")/Metadata!$B$6</f>
        <v>1.2345679012345678E-2</v>
      </c>
      <c r="K9" s="3">
        <f>COUNTIFS('Field Plots'!$G:$G,"Aspen Seedlings &lt;2ft",'Field Plots'!$H:$H,"LargeSL 16-20in")/Metadata!$B$6</f>
        <v>0</v>
      </c>
      <c r="L9" s="3">
        <f>COUNTIFS('Field Plots'!$G:$G,"Aspen Saplings 2ft-5in",'Field Plots'!$H:$H,"LargeSL 16-20in")/Metadata!$B$6</f>
        <v>0</v>
      </c>
      <c r="M9" s="3">
        <f>COUNTIFS('Field Plots'!$G:$G,"Aspen Small 5-7in",'Field Plots'!$H:$H,"LargeSL 16-20in")/Metadata!$B$6</f>
        <v>0</v>
      </c>
      <c r="N9" s="3">
        <f>COUNTIFS('Field Plots'!$G:$G,"Aspen Medium 7-10in",'Field Plots'!$H:$H,"LargeSL 16-20in")/Metadata!$B$6</f>
        <v>0</v>
      </c>
      <c r="O9" s="3">
        <f>COUNTIFS('Field Plots'!$G:$G,"Aspen Large &gt;10in",'Field Plots'!$H:$H,"LargeSL 16-20in")/Metadata!$B$6</f>
        <v>0</v>
      </c>
      <c r="P9" s="3">
        <f t="shared" si="0"/>
        <v>1.2345679012345678E-2</v>
      </c>
    </row>
    <row r="10" spans="2:16" x14ac:dyDescent="0.35">
      <c r="B10" s="2" t="s">
        <v>36</v>
      </c>
      <c r="C10" s="3">
        <f>COUNTIFS('Field Plots'!$G:$G,"Bare Ground",'Field Plots'!$H:$H,"XLargeSL &gt;20in")/Metadata!$B$6</f>
        <v>0</v>
      </c>
      <c r="D10" s="3">
        <f>COUNTIFS('Field Plots'!$G:$G,"Seedlings &lt;2ft",'Field Plots'!$H:$H,"XLargeSL &gt;20in")/Metadata!$B$6</f>
        <v>0</v>
      </c>
      <c r="E10" s="3">
        <f>COUNTIFS('Field Plots'!$G:$G,"Saplings 2ft-5in",'Field Plots'!$H:$H,"XLargeSL &gt;20in")/Metadata!$B$6</f>
        <v>0</v>
      </c>
      <c r="F10" s="3">
        <f>COUNTIFS('Field Plots'!$G:$G,"Poles 5-8in",'Field Plots'!$H:$H,"XLargeSL &gt;20in")/Metadata!$B$6</f>
        <v>0</v>
      </c>
      <c r="G10" s="3">
        <f>COUNTIFS('Field Plots'!$G:$G,"SmallSL 8-12in",'Field Plots'!$H:$H,"XLargeSL &gt;20in")/Metadata!$B$6</f>
        <v>0</v>
      </c>
      <c r="H10" s="3">
        <f>COUNTIFS('Field Plots'!$G:$G,"MediumSL 12-16in",'Field Plots'!$H:$H,"XLargeSL &gt;20in")/Metadata!$B$6</f>
        <v>0</v>
      </c>
      <c r="I10" s="3">
        <f>COUNTIFS('Field Plots'!$G:$G,"LargeSL 16-20in",'Field Plots'!$H:$H,"XLargeSL &gt;20in")/Metadata!$B$6</f>
        <v>0</v>
      </c>
      <c r="J10" s="3">
        <f>COUNTIFS('Field Plots'!$G:$G,"XLargeSL &gt;20in",'Field Plots'!$H:$H,"XLargeSL &gt;20in")/Metadata!$B$6</f>
        <v>0</v>
      </c>
      <c r="K10" s="3">
        <f>COUNTIFS('Field Plots'!$G:$G,"Aspen Seedlings &lt;2ft",'Field Plots'!$H:$H,"XLargeSL &gt;20in")/Metadata!$B$6</f>
        <v>0</v>
      </c>
      <c r="L10" s="3">
        <f>COUNTIFS('Field Plots'!$G:$G,"Aspen Saplings 2ft-5in",'Field Plots'!$H:$H,"XLargeSL &gt;20in")/Metadata!$B$6</f>
        <v>0</v>
      </c>
      <c r="M10" s="3">
        <f>COUNTIFS('Field Plots'!$G:$G,"Aspen Small 5-7in",'Field Plots'!$H:$H,"XLargeSL &gt;20in")/Metadata!$B$6</f>
        <v>0</v>
      </c>
      <c r="N10" s="3">
        <f>COUNTIFS('Field Plots'!$G:$G,"Aspen Medium 7-10in",'Field Plots'!$H:$H,"XLargeSL &gt;20in")/Metadata!$B$6</f>
        <v>0</v>
      </c>
      <c r="O10" s="3">
        <f>COUNTIFS('Field Plots'!$G:$G,"Aspen Large &gt;10in",'Field Plots'!$H:$H,"XLargeSL &gt;20in")/Metadata!$B$6</f>
        <v>0</v>
      </c>
      <c r="P10" s="3">
        <f t="shared" si="0"/>
        <v>0</v>
      </c>
    </row>
    <row r="11" spans="2:16" x14ac:dyDescent="0.35">
      <c r="B11" s="2" t="s">
        <v>37</v>
      </c>
      <c r="C11" s="3">
        <f>COUNTIFS('Field Plots'!$G:$G,"Bare Ground",'Field Plots'!$H:$H,"Aspen Seedlings &lt;2ft")/Metadata!$B$6</f>
        <v>0</v>
      </c>
      <c r="D11" s="3">
        <f>COUNTIFS('Field Plots'!$G:$G,"Seedlings &lt;2ft",'Field Plots'!$H:$H,"Aspen Seedlings &lt;2ft")/Metadata!$B$6</f>
        <v>0</v>
      </c>
      <c r="E11" s="3">
        <f>COUNTIFS('Field Plots'!$G:$G,"Saplings 2ft-5in",'Field Plots'!$H:$H,"Aspen Seedlings &lt;2ft")/Metadata!$B$6</f>
        <v>0</v>
      </c>
      <c r="F11" s="3">
        <f>COUNTIFS('Field Plots'!$G:$G,"Poles 5-8in",'Field Plots'!$H:$H,"Aspen Seedlings &lt;2ft")/Metadata!$B$6</f>
        <v>2.4691358024691357E-2</v>
      </c>
      <c r="G11" s="3">
        <f>COUNTIFS('Field Plots'!$G:$G,"SmallSL 8-12in",'Field Plots'!$H:$H,"Aspen Seedlings &lt;2ft")/Metadata!$B$6</f>
        <v>0</v>
      </c>
      <c r="H11" s="3">
        <f>COUNTIFS('Field Plots'!$G:$G,"MediumSL 12-16in",'Field Plots'!$H:$H,"Aspen Seedlings &lt;2ft")/Metadata!$B$6</f>
        <v>0</v>
      </c>
      <c r="I11" s="3">
        <f>COUNTIFS('Field Plots'!$G:$G,"LargeSL 16-20in",'Field Plots'!$H:$H,"Aspen Seedlings &lt;2ft")/Metadata!$B$6</f>
        <v>0</v>
      </c>
      <c r="J11" s="3">
        <f>COUNTIFS('Field Plots'!$G:$G,"XLargeSL &gt;20in",'Field Plots'!$H:$H,"Aspen Seedlings &lt;2ft")/Metadata!$B$6</f>
        <v>0</v>
      </c>
      <c r="K11" s="3">
        <f>COUNTIFS('Field Plots'!$G:$G,"Aspen Seedlings &lt;2ft",'Field Plots'!$H:$H,"Aspen Seedlings &lt;2ft")/Metadata!$B$6</f>
        <v>0</v>
      </c>
      <c r="L11" s="3">
        <f>COUNTIFS('Field Plots'!$G:$G,"Aspen Saplings 2ft-5in",'Field Plots'!$H:$H,"Aspen Seedlings &lt;2ft")/Metadata!$B$6</f>
        <v>0</v>
      </c>
      <c r="M11" s="3">
        <f>COUNTIFS('Field Plots'!$G:$G,"Aspen Small 5-7in",'Field Plots'!$H:$H,"Aspen Seedlings &lt;2ft")/Metadata!$B$6</f>
        <v>0</v>
      </c>
      <c r="N11" s="3">
        <f>COUNTIFS('Field Plots'!$G:$G,"Aspen Medium 7-10in",'Field Plots'!$H:$H,"Aspen Seedlings &lt;2ft")/Metadata!$B$6</f>
        <v>0</v>
      </c>
      <c r="O11" s="3">
        <f>COUNTIFS('Field Plots'!$G:$G,"Aspen Large &gt;10in",'Field Plots'!$H:$H,"Aspen Seedlings &lt;2ft")/Metadata!$B$6</f>
        <v>0</v>
      </c>
      <c r="P11" s="3">
        <f t="shared" si="0"/>
        <v>2.4691358024691357E-2</v>
      </c>
    </row>
    <row r="12" spans="2:16" x14ac:dyDescent="0.35">
      <c r="B12" s="2" t="s">
        <v>38</v>
      </c>
      <c r="C12" s="3">
        <f>COUNTIFS('Field Plots'!$G:$G,"Bare Ground",'Field Plots'!$H:$H,"Aspen Saplings 2ft-5in")/Metadata!$B$6</f>
        <v>0</v>
      </c>
      <c r="D12" s="3">
        <f>COUNTIFS('Field Plots'!$G:$G,"Seedlings &lt;2ft",'Field Plots'!$H:$H,"Aspen Saplings 2ft-5in")/Metadata!$B$6</f>
        <v>0</v>
      </c>
      <c r="E12" s="3">
        <f>COUNTIFS('Field Plots'!$G:$G,"Saplings 2ft-5in",'Field Plots'!$H:$H,"Aspen Saplings 2ft-5in")/Metadata!$B$6</f>
        <v>1.2345679012345678E-2</v>
      </c>
      <c r="F12" s="3">
        <f>COUNTIFS('Field Plots'!$G:$G,"Poles 5-8in",'Field Plots'!$H:$H,"Aspen Saplings 2ft-5in")/Metadata!$B$6</f>
        <v>0</v>
      </c>
      <c r="G12" s="3">
        <f>COUNTIFS('Field Plots'!$G:$G,"SmallSL 8-12in",'Field Plots'!$H:$H,"Aspen Saplings 2ft-5in")/Metadata!$B$6</f>
        <v>2.4691358024691357E-2</v>
      </c>
      <c r="H12" s="3">
        <f>COUNTIFS('Field Plots'!$G:$G,"MediumSL 12-16in",'Field Plots'!$H:$H,"Aspen Saplings 2ft-5in")/Metadata!$B$6</f>
        <v>3.7037037037037035E-2</v>
      </c>
      <c r="I12" s="3">
        <f>COUNTIFS('Field Plots'!$G:$G,"LargeSL 16-20in",'Field Plots'!$H:$H,"Aspen Saplings 2ft-5in")/Metadata!$B$6</f>
        <v>0</v>
      </c>
      <c r="J12" s="3">
        <f>COUNTIFS('Field Plots'!$G:$G,"XLargeSL &gt;20in",'Field Plots'!$H:$H,"Aspen Saplings 2ft-5in")/Metadata!$B$6</f>
        <v>0</v>
      </c>
      <c r="K12" s="3">
        <f>COUNTIFS('Field Plots'!$G:$G,"Aspen Seedlings &lt;2ft",'Field Plots'!$H:$H,"Aspen Saplings 2ft-5in")/Metadata!$B$6</f>
        <v>0</v>
      </c>
      <c r="L12" s="3">
        <f>COUNTIFS('Field Plots'!$G:$G,"Aspen Saplings 2ft-5in",'Field Plots'!$H:$H,"Aspen Saplings 2ft-5in")/Metadata!$B$6</f>
        <v>0</v>
      </c>
      <c r="M12" s="3">
        <f>COUNTIFS('Field Plots'!$G:$G,"Aspen Small 5-7in",'Field Plots'!$H:$H,"Aspen Saplings 2ft-5in")/Metadata!$B$6</f>
        <v>2.4691358024691357E-2</v>
      </c>
      <c r="N12" s="3">
        <f>COUNTIFS('Field Plots'!$G:$G,"Aspen Medium 7-10in",'Field Plots'!$H:$H,"Aspen Saplings 2ft-5in")/Metadata!$B$6</f>
        <v>0</v>
      </c>
      <c r="O12" s="3">
        <f>COUNTIFS('Field Plots'!$G:$G,"Aspen Large &gt;10in",'Field Plots'!$H:$H,"Aspen Saplings 2ft-5in")/Metadata!$B$6</f>
        <v>0</v>
      </c>
      <c r="P12" s="3">
        <f t="shared" si="0"/>
        <v>9.8765432098765427E-2</v>
      </c>
    </row>
    <row r="13" spans="2:16" x14ac:dyDescent="0.35">
      <c r="B13" s="2" t="s">
        <v>39</v>
      </c>
      <c r="C13" s="3">
        <f>COUNTIFS('Field Plots'!$G:$G,"Bare Ground",'Field Plots'!$H:$H,"Aspen Small 5-7in")/Metadata!$B$6</f>
        <v>0</v>
      </c>
      <c r="D13" s="3">
        <f>COUNTIFS('Field Plots'!$G:$G,"Seedlings &lt;2ft",'Field Plots'!$H:$H,"Aspen Small 5-7in")/Metadata!$B$6</f>
        <v>0</v>
      </c>
      <c r="E13" s="3">
        <f>COUNTIFS('Field Plots'!$G:$G,"Saplings 2ft-5in",'Field Plots'!$H:$H,"Aspen Small 5-7in")/Metadata!$B$6</f>
        <v>0</v>
      </c>
      <c r="F13" s="3">
        <f>COUNTIFS('Field Plots'!$G:$G,"Poles 5-8in",'Field Plots'!$H:$H,"Aspen Small 5-7in")/Metadata!$B$6</f>
        <v>0</v>
      </c>
      <c r="G13" s="3">
        <f>COUNTIFS('Field Plots'!$G:$G,"SmallSL 8-12in",'Field Plots'!$H:$H,"Aspen Small 5-7in")/Metadata!$B$6</f>
        <v>0</v>
      </c>
      <c r="H13" s="3">
        <f>COUNTIFS('Field Plots'!$G:$G,"MediumSL 12-16in",'Field Plots'!$H:$H,"Aspen Small 5-7in")/Metadata!$B$6</f>
        <v>0</v>
      </c>
      <c r="I13" s="3">
        <f>COUNTIFS('Field Plots'!$G:$G,"LargeSL 16-20in",'Field Plots'!$H:$H,"Aspen Small 5-7in")/Metadata!$B$6</f>
        <v>0</v>
      </c>
      <c r="J13" s="3">
        <f>COUNTIFS('Field Plots'!$G:$G,"XLargeSL &gt;20in",'Field Plots'!$H:$H,"Aspen Small 5-7in")/Metadata!$B$6</f>
        <v>0</v>
      </c>
      <c r="K13" s="3">
        <f>COUNTIFS('Field Plots'!$G:$G,"Aspen Seedlings &lt;2ft",'Field Plots'!$H:$H,"Aspen Small 5-7in")/Metadata!$B$6</f>
        <v>0</v>
      </c>
      <c r="L13" s="3">
        <f>COUNTIFS('Field Plots'!$G:$G,"Aspen Saplings 2ft-5in",'Field Plots'!$H:$H,"Aspen Small 5-7in")/Metadata!$B$6</f>
        <v>0</v>
      </c>
      <c r="M13" s="3">
        <f>COUNTIFS('Field Plots'!$G:$G,"Aspen Small 5-7in",'Field Plots'!$H:$H,"Aspen Small 5-7in")/Metadata!$B$6</f>
        <v>0</v>
      </c>
      <c r="N13" s="3">
        <f>COUNTIFS('Field Plots'!$G:$G,"Aspen Medium 7-10in",'Field Plots'!$H:$H,"Aspen Small 5-7in")/Metadata!$B$6</f>
        <v>0</v>
      </c>
      <c r="O13" s="3">
        <f>COUNTIFS('Field Plots'!$G:$G,"Aspen Large &gt;10in",'Field Plots'!$H:$H,"Aspen Small 5-7in")/Metadata!$B$6</f>
        <v>0</v>
      </c>
      <c r="P13" s="3">
        <f t="shared" si="0"/>
        <v>0</v>
      </c>
    </row>
    <row r="14" spans="2:16" x14ac:dyDescent="0.35">
      <c r="B14" s="2" t="s">
        <v>40</v>
      </c>
      <c r="C14" s="3">
        <f>COUNTIFS('Field Plots'!$G:$G,"Bare Ground",'Field Plots'!$H:$H,"Aspen Medium 7-10in")/Metadata!$B$6</f>
        <v>0</v>
      </c>
      <c r="D14" s="3">
        <f>COUNTIFS('Field Plots'!$G:$G,"Seedlings &lt;2ft",'Field Plots'!$H:$H,"Aspen Medium 7-10in")/Metadata!$B$6</f>
        <v>0</v>
      </c>
      <c r="E14" s="3">
        <f>COUNTIFS('Field Plots'!$G:$G,"Saplings 2ft-5in",'Field Plots'!$H:$H,"Aspen Medium 7-10in")/Metadata!$B$6</f>
        <v>0</v>
      </c>
      <c r="F14" s="3">
        <f>COUNTIFS('Field Plots'!$G:$G,"Poles 5-8in",'Field Plots'!$H:$H,"Aspen Medium 7-10in")/Metadata!$B$6</f>
        <v>0</v>
      </c>
      <c r="G14" s="3">
        <f>COUNTIFS('Field Plots'!$G:$G,"SmallSL 8-12in",'Field Plots'!$H:$H,"Aspen Medium 7-10in")/Metadata!$B$6</f>
        <v>0</v>
      </c>
      <c r="H14" s="3">
        <f>COUNTIFS('Field Plots'!$G:$G,"MediumSL 12-16in",'Field Plots'!$H:$H,"Aspen Medium 7-10in")/Metadata!$B$6</f>
        <v>0</v>
      </c>
      <c r="I14" s="3">
        <f>COUNTIFS('Field Plots'!$G:$G,"LargeSL 16-20in",'Field Plots'!$H:$H,"Aspen Medium 7-10in")/Metadata!$B$6</f>
        <v>0</v>
      </c>
      <c r="J14" s="3">
        <f>COUNTIFS('Field Plots'!$G:$G,"XLargeSL &gt;20in",'Field Plots'!$H:$H,"Aspen Medium 7-10in")/Metadata!$B$6</f>
        <v>0</v>
      </c>
      <c r="K14" s="3">
        <f>COUNTIFS('Field Plots'!$G:$G,"Aspen Seedlings &lt;2ft",'Field Plots'!$H:$H,"Aspen Medium 7-10in")/Metadata!$B$6</f>
        <v>0</v>
      </c>
      <c r="L14" s="3">
        <f>COUNTIFS('Field Plots'!$G:$G,"Aspen Saplings 2ft-5in",'Field Plots'!$H:$H,"Aspen Medium 7-10in")/Metadata!$B$6</f>
        <v>0</v>
      </c>
      <c r="M14" s="3">
        <f>COUNTIFS('Field Plots'!$G:$G,"Aspen Small 5-7in",'Field Plots'!$H:$H,"Aspen Medium 7-10in")/Metadata!$B$6</f>
        <v>0</v>
      </c>
      <c r="N14" s="3">
        <f>COUNTIFS('Field Plots'!$G:$G,"Aspen Medium 7-10in",'Field Plots'!$H:$H,"Aspen Medium 7-10in")/Metadata!$B$6</f>
        <v>0</v>
      </c>
      <c r="O14" s="3">
        <f>COUNTIFS('Field Plots'!$G:$G,"Aspen Large &gt;10in",'Field Plots'!$H:$H,"Aspen Medium 7-10in")/Metadata!$B$6</f>
        <v>0</v>
      </c>
      <c r="P14" s="3">
        <f t="shared" si="0"/>
        <v>0</v>
      </c>
    </row>
    <row r="15" spans="2:16" x14ac:dyDescent="0.35">
      <c r="B15" s="2" t="s">
        <v>41</v>
      </c>
      <c r="C15" s="3">
        <f>COUNTIFS('Field Plots'!$G:$G,"Bare Ground",'Field Plots'!$H:$H,"Aspen Large &gt;10in")/Metadata!$B$6</f>
        <v>0</v>
      </c>
      <c r="D15" s="3">
        <f>COUNTIFS('Field Plots'!$G:$G,"Seedlings &lt;2ft",'Field Plots'!$H:$H,"Aspen Large &gt;10in")/Metadata!$B$6</f>
        <v>0</v>
      </c>
      <c r="E15" s="3">
        <f>COUNTIFS('Field Plots'!$G:$G,"Saplings 2ft-5in",'Field Plots'!$H:$H,"Aspen Large &gt;10in")/Metadata!$B$6</f>
        <v>0</v>
      </c>
      <c r="F15" s="3">
        <f>COUNTIFS('Field Plots'!$G:$G,"Poles 5-8in",'Field Plots'!$H:$H,"Aspen Large &gt;10in")/Metadata!$B$6</f>
        <v>0</v>
      </c>
      <c r="G15" s="3">
        <f>COUNTIFS('Field Plots'!$G:$G,"SmallSL 8-12in",'Field Plots'!$H:$H,"Aspen Large &gt;10in")/Metadata!$B$6</f>
        <v>0</v>
      </c>
      <c r="H15" s="3">
        <f>COUNTIFS('Field Plots'!$G:$G,"MediumSL 12-16in",'Field Plots'!$H:$H,"Aspen Large &gt;10in")/Metadata!$B$6</f>
        <v>0</v>
      </c>
      <c r="I15" s="3">
        <f>COUNTIFS('Field Plots'!$G:$G,"LargeSL 16-20in",'Field Plots'!$H:$H,"Aspen Large &gt;10in")/Metadata!$B$6</f>
        <v>0</v>
      </c>
      <c r="J15" s="3">
        <f>COUNTIFS('Field Plots'!$G:$G,"XLargeSL &gt;20in",'Field Plots'!$H:$H,"Aspen Large &gt;10in")/Metadata!$B$6</f>
        <v>0</v>
      </c>
      <c r="K15" s="3">
        <f>COUNTIFS('Field Plots'!$G:$G,"Aspen Seedlings &lt;2ft",'Field Plots'!$H:$H,"Aspen Large &gt;10in")/Metadata!$B$6</f>
        <v>0</v>
      </c>
      <c r="L15" s="3">
        <f>COUNTIFS('Field Plots'!$G:$G,"Aspen Saplings 2ft-5in",'Field Plots'!$H:$H,"Aspen Large &gt;10in")/Metadata!$B$6</f>
        <v>0</v>
      </c>
      <c r="M15" s="3">
        <f>COUNTIFS('Field Plots'!$G:$G,"Aspen Small 5-7in",'Field Plots'!$H:$H,"Aspen Large &gt;10in")/Metadata!$B$6</f>
        <v>0</v>
      </c>
      <c r="N15" s="3">
        <f>COUNTIFS('Field Plots'!$G:$G,"Aspen Medium 7-10in",'Field Plots'!$H:$H,"Aspen Large &gt;10in")/Metadata!$B$6</f>
        <v>0</v>
      </c>
      <c r="O15" s="3">
        <f>COUNTIFS('Field Plots'!$G:$G,"Aspen Large &gt;10in",'Field Plots'!$H:$H,"Aspen Large &gt;10in")/Metadata!$B$6</f>
        <v>0</v>
      </c>
      <c r="P15" s="3">
        <f t="shared" si="0"/>
        <v>0</v>
      </c>
    </row>
    <row r="16" spans="2:16" x14ac:dyDescent="0.35">
      <c r="B16" s="2" t="s">
        <v>17</v>
      </c>
      <c r="C16" s="3">
        <f t="shared" ref="C16:O16" si="1">SUM(C3:C15)</f>
        <v>2.4691358024691357E-2</v>
      </c>
      <c r="D16" s="3">
        <f t="shared" si="1"/>
        <v>2.4691358024691357E-2</v>
      </c>
      <c r="E16" s="3">
        <f t="shared" si="1"/>
        <v>0.1111111111111111</v>
      </c>
      <c r="F16" s="3">
        <f t="shared" si="1"/>
        <v>0.22222222222222221</v>
      </c>
      <c r="G16" s="3">
        <f t="shared" si="1"/>
        <v>0.30864197530864196</v>
      </c>
      <c r="H16" s="6">
        <f t="shared" si="1"/>
        <v>0.18518518518518517</v>
      </c>
      <c r="I16" s="3">
        <f t="shared" si="1"/>
        <v>2.4691358024691357E-2</v>
      </c>
      <c r="J16" s="3">
        <f t="shared" si="1"/>
        <v>3.7037037037037035E-2</v>
      </c>
      <c r="K16" s="3">
        <f t="shared" si="1"/>
        <v>1.2345679012345678E-2</v>
      </c>
      <c r="L16" s="6">
        <f t="shared" si="1"/>
        <v>0</v>
      </c>
      <c r="M16" s="3">
        <f t="shared" si="1"/>
        <v>4.9382716049382713E-2</v>
      </c>
      <c r="N16" s="3">
        <f t="shared" si="1"/>
        <v>0</v>
      </c>
      <c r="O16" s="3">
        <f t="shared" si="1"/>
        <v>0</v>
      </c>
      <c r="P16" s="3">
        <f t="shared" si="0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AD55-CD87-4C3F-9908-F3B1C2A98FDA}">
  <dimension ref="B2:L12"/>
  <sheetViews>
    <sheetView topLeftCell="H7" workbookViewId="0">
      <selection activeCell="L39" sqref="L39"/>
    </sheetView>
  </sheetViews>
  <sheetFormatPr defaultRowHeight="14.5" x14ac:dyDescent="0.35"/>
  <sheetData>
    <row r="2" spans="2:12" x14ac:dyDescent="0.35">
      <c r="B2" s="2"/>
      <c r="C2" s="5" t="s">
        <v>19</v>
      </c>
      <c r="D2" s="5" t="s">
        <v>20</v>
      </c>
      <c r="E2" s="5" t="s">
        <v>21</v>
      </c>
      <c r="F2" s="5" t="s">
        <v>10</v>
      </c>
      <c r="G2" s="5" t="s">
        <v>22</v>
      </c>
      <c r="H2" s="5" t="s">
        <v>23</v>
      </c>
      <c r="I2" s="5" t="s">
        <v>25</v>
      </c>
      <c r="J2" s="5" t="s">
        <v>11</v>
      </c>
      <c r="K2" s="5" t="s">
        <v>18</v>
      </c>
      <c r="L2" s="2" t="s">
        <v>17</v>
      </c>
    </row>
    <row r="3" spans="2:12" x14ac:dyDescent="0.35">
      <c r="B3" s="5" t="s">
        <v>19</v>
      </c>
      <c r="C3" s="3">
        <f>COUNTIFS('Field Plots'!$E:$E,"Bare Ground",'Field Plots'!$F:$F,"Bare Ground")/Metadata!$B$6</f>
        <v>2.4691358024691357E-2</v>
      </c>
      <c r="D3" s="3">
        <f>COUNTIFS('Field Plots'!$E:$E,"Ponderosa pine",'Field Plots'!$F:$F,"Bare Ground")/Metadata!$B$6</f>
        <v>4.9382716049382713E-2</v>
      </c>
      <c r="E3" s="3">
        <f>COUNTIFS('Field Plots'!$E:$E,"Lodgepole pine",'Field Plots'!$F:$F,"Bare Ground")/Metadata!$B$6</f>
        <v>0</v>
      </c>
      <c r="F3" s="3">
        <f>COUNTIFS('Field Plots'!$E:$E,"Douglas-fir",'Field Plots'!$F:$F,"Bare Ground")/Metadata!$B$6</f>
        <v>3.7037037037037035E-2</v>
      </c>
      <c r="G3" s="3">
        <f>COUNTIFS('Field Plots'!$E:$E,"Limber pine",'Field Plots'!$F:$F,"Bare Ground")/Metadata!$B$6</f>
        <v>0</v>
      </c>
      <c r="H3" s="3">
        <f>COUNTIFS('Field Plots'!$E:$E,"Aspen",'Field Plots'!$F:$F,"Bare Ground")/Metadata!$B$6</f>
        <v>1.2345679012345678E-2</v>
      </c>
      <c r="I3" s="3">
        <f>COUNTIFS('Field Plots'!$E:$E,"Rocky Mtn. Juniper",'Field Plots'!$F:$F,"Bare Ground")/Metadata!$B$6</f>
        <v>0</v>
      </c>
      <c r="J3" s="3">
        <f>COUNTIFS('Field Plots'!$E:$E,"Engelmann spruce",'Field Plots'!$F:$F,"Bare Ground")/Metadata!$B$6</f>
        <v>0</v>
      </c>
      <c r="K3" s="3">
        <f>COUNTIFS('Field Plots'!$E:$E,"Subalpine fir",'Field Plots'!$F:$F,"Bare Ground")/Metadata!$B$6</f>
        <v>0</v>
      </c>
      <c r="L3" s="3">
        <f t="shared" ref="L3:L11" si="0">SUM(C3:K3)</f>
        <v>0.12345679012345678</v>
      </c>
    </row>
    <row r="4" spans="2:12" x14ac:dyDescent="0.35">
      <c r="B4" s="5" t="s">
        <v>20</v>
      </c>
      <c r="C4" s="3">
        <f>COUNTIFS('Field Plots'!$E:$E,"Bare Ground",'Field Plots'!$F:$F,"Ponderosa pine")/Metadata!$B$6</f>
        <v>0</v>
      </c>
      <c r="D4" s="3">
        <f>COUNTIFS('Field Plots'!$E:$E,"Ponderosa pine",'Field Plots'!$F:$F,"Ponderosa pine")/Metadata!$B$6</f>
        <v>0.1111111111111111</v>
      </c>
      <c r="E4" s="3">
        <f>COUNTIFS('Field Plots'!$E:$E,"Lodgepole pine",'Field Plots'!$F:$F,"Ponderosa pine")/Metadata!$B$6</f>
        <v>4.9382716049382713E-2</v>
      </c>
      <c r="F4" s="3">
        <f>COUNTIFS('Field Plots'!$E:$E,"Douglas-fir",'Field Plots'!$F:$F,"Ponderosa pine")/Metadata!$B$6</f>
        <v>7.407407407407407E-2</v>
      </c>
      <c r="G4" s="3">
        <f>COUNTIFS('Field Plots'!$E:$E,"Limber pine",'Field Plots'!$F:$F,"Ponderosa pine")/Metadata!$B$6</f>
        <v>0</v>
      </c>
      <c r="H4" s="3">
        <f>COUNTIFS('Field Plots'!$E:$E,"Aspen",'Field Plots'!$F:$F,"Ponderosa pine")/Metadata!$B$6</f>
        <v>0</v>
      </c>
      <c r="I4" s="3">
        <f>COUNTIFS('Field Plots'!$E:$E,"Rocky Mtn. Juniper",'Field Plots'!$F:$F,"Ponderosa pine")/Metadata!$B$6</f>
        <v>0</v>
      </c>
      <c r="J4" s="3">
        <f>COUNTIFS('Field Plots'!$E:$E,"Engelmann spruce",'Field Plots'!$F:$F,"Ponderosa pine")/Metadata!$B$6</f>
        <v>1.2345679012345678E-2</v>
      </c>
      <c r="K4" s="3">
        <f>COUNTIFS('Field Plots'!$E:$E,"Subalpine fir",'Field Plots'!$F:$F,"Ponderosa pine")/Metadata!$B$6</f>
        <v>0</v>
      </c>
      <c r="L4" s="3">
        <f t="shared" si="0"/>
        <v>0.24691358024691357</v>
      </c>
    </row>
    <row r="5" spans="2:12" x14ac:dyDescent="0.35">
      <c r="B5" s="5" t="s">
        <v>21</v>
      </c>
      <c r="C5" s="3">
        <f>COUNTIFS('Field Plots'!$E:$E,"Bare Ground",'Field Plots'!$F:$F,"Lodgepole pine")/Metadata!$B$6</f>
        <v>0</v>
      </c>
      <c r="D5" s="3">
        <f>COUNTIFS('Field Plots'!$E:$E,"Ponderosa pine",'Field Plots'!$F:$F,"Lodgepole pine")/Metadata!$B$6</f>
        <v>3.7037037037037035E-2</v>
      </c>
      <c r="E5" s="3">
        <f>COUNTIFS('Field Plots'!$E:$E,"Lodgepole pine",'Field Plots'!$F:$F,"Lodgepole pine")/Metadata!$B$6</f>
        <v>6.1728395061728392E-2</v>
      </c>
      <c r="F5" s="3">
        <f>COUNTIFS('Field Plots'!$E:$E,"Douglas-fir",'Field Plots'!$F:$F,"Lodgepole pine")/Metadata!$B$6</f>
        <v>3.7037037037037035E-2</v>
      </c>
      <c r="G5" s="3">
        <f>COUNTIFS('Field Plots'!$E:$E,"Limber pine",'Field Plots'!$F:$F,"Lodgepole pine")/Metadata!$B$6</f>
        <v>0</v>
      </c>
      <c r="H5" s="3">
        <f>COUNTIFS('Field Plots'!$E:$E,"Aspen",'Field Plots'!$F:$F,"Lodgepole pine")/Metadata!$B$6</f>
        <v>0</v>
      </c>
      <c r="I5" s="3">
        <f>COUNTIFS('Field Plots'!$E:$E,"Rocky Mtn. Juniper",'Field Plots'!$F:$F,"Lodgepole pine")/Metadata!$B$6</f>
        <v>0</v>
      </c>
      <c r="J5" s="3">
        <f>COUNTIFS('Field Plots'!$E:$E,"Engelmann spruce",'Field Plots'!$F:$F,"Lodgepole pine")/Metadata!$B$6</f>
        <v>0</v>
      </c>
      <c r="K5" s="3">
        <f>COUNTIFS('Field Plots'!$E:$E,"Subalpine fir",'Field Plots'!$F:$F,"Lodgepole pine")/Metadata!$B$6</f>
        <v>0</v>
      </c>
      <c r="L5" s="3">
        <f t="shared" si="0"/>
        <v>0.13580246913580246</v>
      </c>
    </row>
    <row r="6" spans="2:12" x14ac:dyDescent="0.35">
      <c r="B6" s="5" t="s">
        <v>10</v>
      </c>
      <c r="C6" s="3">
        <f>COUNTIFS('Field Plots'!$E:$E,"Bare Ground",'Field Plots'!$F:$F,"Douglas-fir")/Metadata!$B$6</f>
        <v>0</v>
      </c>
      <c r="D6" s="3">
        <f>COUNTIFS('Field Plots'!$E:$E,"Ponderosa pine",'Field Plots'!$F:$F,"Douglas-fir")/Metadata!$B$6</f>
        <v>0.18518518518518517</v>
      </c>
      <c r="E6" s="3">
        <f>COUNTIFS('Field Plots'!$E:$E,"Lodgepole pine",'Field Plots'!$F:$F,"Douglas-fir")/Metadata!$B$6</f>
        <v>4.9382716049382713E-2</v>
      </c>
      <c r="F6" s="3">
        <f>COUNTIFS('Field Plots'!$E:$E,"Douglas-fir",'Field Plots'!$F:$F,"Douglas-fir")/Metadata!$B$6</f>
        <v>8.6419753086419748E-2</v>
      </c>
      <c r="G6" s="3">
        <f>COUNTIFS('Field Plots'!$E:$E,"Limber pine",'Field Plots'!$F:$F,"Douglas-fir")/Metadata!$B$6</f>
        <v>0</v>
      </c>
      <c r="H6" s="3">
        <f>COUNTIFS('Field Plots'!$E:$E,"Aspen",'Field Plots'!$F:$F,"Douglas-fir")/Metadata!$B$6</f>
        <v>2.4691358024691357E-2</v>
      </c>
      <c r="I6" s="3">
        <f>COUNTIFS('Field Plots'!$E:$E,"Rocky Mtn. Juniper",'Field Plots'!$F:$F,"Douglas-fir")/Metadata!$B$6</f>
        <v>0</v>
      </c>
      <c r="J6" s="3">
        <f>COUNTIFS('Field Plots'!$E:$E,"Engelmann spruce",'Field Plots'!$F:$F,"Douglas-fir")/Metadata!$B$6</f>
        <v>0</v>
      </c>
      <c r="K6" s="3">
        <f>COUNTIFS('Field Plots'!$E:$E,"Subalpine fir",'Field Plots'!$F:$F,"Douglas-fir")/Metadata!$B$6</f>
        <v>0</v>
      </c>
      <c r="L6" s="3">
        <f t="shared" si="0"/>
        <v>0.34567901234567899</v>
      </c>
    </row>
    <row r="7" spans="2:12" x14ac:dyDescent="0.35">
      <c r="B7" s="5" t="s">
        <v>22</v>
      </c>
      <c r="C7" s="3">
        <f>COUNTIFS('Field Plots'!$E:$E,"Bare Ground",'Field Plots'!$F:$F,"Limber pine")/Metadata!$B$6</f>
        <v>0</v>
      </c>
      <c r="D7" s="3">
        <f>COUNTIFS('Field Plots'!$E:$E,"Ponderosa pine",'Field Plots'!$F:$F,"Limber pine")/Metadata!$B$6</f>
        <v>0</v>
      </c>
      <c r="E7" s="3">
        <f>COUNTIFS('Field Plots'!$E:$E,"Lodgepole pine",'Field Plots'!$F:$F,"Limber pine")/Metadata!$B$6</f>
        <v>0</v>
      </c>
      <c r="F7" s="3">
        <f>COUNTIFS('Field Plots'!$E:$E,"Douglas-fir",'Field Plots'!$F:$F,"Limber pine")/Metadata!$B$6</f>
        <v>0</v>
      </c>
      <c r="G7" s="3">
        <f>COUNTIFS('Field Plots'!$E:$E,"Limber pine",'Field Plots'!$F:$F,"Limber pine")/Metadata!$B$6</f>
        <v>0</v>
      </c>
      <c r="H7" s="3">
        <f>COUNTIFS('Field Plots'!$E:$E,"Aspen",'Field Plots'!$F:$F,"Limber pine")/Metadata!$B$6</f>
        <v>0</v>
      </c>
      <c r="I7" s="3">
        <f>COUNTIFS('Field Plots'!$E:$E,"Rocky Mtn. Juniper",'Field Plots'!$F:$F,"Limber pine")/Metadata!$B$6</f>
        <v>0</v>
      </c>
      <c r="J7" s="3">
        <f>COUNTIFS('Field Plots'!$E:$E,"Engelmann spruce",'Field Plots'!$F:$F,"Limber pine")/Metadata!$B$6</f>
        <v>0</v>
      </c>
      <c r="K7" s="3">
        <f>COUNTIFS('Field Plots'!$E:$E,"Subalpine fir",'Field Plots'!$F:$F,"Limber pine")/Metadata!$B$6</f>
        <v>0</v>
      </c>
      <c r="L7" s="3">
        <f t="shared" si="0"/>
        <v>0</v>
      </c>
    </row>
    <row r="8" spans="2:12" x14ac:dyDescent="0.35">
      <c r="B8" s="5" t="s">
        <v>23</v>
      </c>
      <c r="C8" s="3">
        <f>COUNTIFS('Field Plots'!$E:$E,"Bare Ground",'Field Plots'!$F:$F,"Aspen")/Metadata!$B$6</f>
        <v>0</v>
      </c>
      <c r="D8" s="3">
        <f>COUNTIFS('Field Plots'!$E:$E,"Ponderosa pine",'Field Plots'!$F:$F,"Aspen")/Metadata!$B$6</f>
        <v>2.4691358024691357E-2</v>
      </c>
      <c r="E8" s="3">
        <f>COUNTIFS('Field Plots'!$E:$E,"Lodgepole pine",'Field Plots'!$F:$F,"Aspen")/Metadata!$B$6</f>
        <v>1.2345679012345678E-2</v>
      </c>
      <c r="F8" s="3">
        <f>COUNTIFS('Field Plots'!$E:$E,"Douglas-fir",'Field Plots'!$F:$F,"Aspen")/Metadata!$B$6</f>
        <v>7.407407407407407E-2</v>
      </c>
      <c r="G8" s="3">
        <f>COUNTIFS('Field Plots'!$E:$E,"Limber pine",'Field Plots'!$F:$F,"Aspen")/Metadata!$B$6</f>
        <v>0</v>
      </c>
      <c r="H8" s="3">
        <f>COUNTIFS('Field Plots'!$E:$E,"Aspen",'Field Plots'!$F:$F,"Aspen")/Metadata!$B$6</f>
        <v>2.4691358024691357E-2</v>
      </c>
      <c r="I8" s="3">
        <f>COUNTIFS('Field Plots'!$E:$E,"Rocky Mtn. Juniper",'Field Plots'!$F:$F,"Aspen")/Metadata!$B$6</f>
        <v>0</v>
      </c>
      <c r="J8" s="3">
        <f>COUNTIFS('Field Plots'!$E:$E,"Engelmann spruce",'Field Plots'!$F:$F,"Aspen")/Metadata!$B$6</f>
        <v>0</v>
      </c>
      <c r="K8" s="3">
        <f>COUNTIFS('Field Plots'!$E:$E,"Subalpine fir",'Field Plots'!$F:$F,"Aspen")/Metadata!$B$6</f>
        <v>0</v>
      </c>
      <c r="L8" s="3">
        <f t="shared" si="0"/>
        <v>0.13580246913580246</v>
      </c>
    </row>
    <row r="9" spans="2:12" x14ac:dyDescent="0.35">
      <c r="B9" s="5" t="s">
        <v>25</v>
      </c>
      <c r="C9" s="3">
        <f>COUNTIFS('Field Plots'!$E:$E,"Bare Ground",'Field Plots'!$F:$F,"Rocky Mtn. Juniper")/Metadata!$B$6</f>
        <v>0</v>
      </c>
      <c r="D9" s="3">
        <f>COUNTIFS('Field Plots'!$E:$E,"Ponderosa pine",'Field Plots'!$F:$F,"Rocky Mtn. Juniper")/Metadata!$B$6</f>
        <v>0</v>
      </c>
      <c r="E9" s="3">
        <f>COUNTIFS('Field Plots'!$E:$E,"Lodgepole pine",'Field Plots'!$F:$F,"Rocky Mtn. Juniper")/Metadata!$B$6</f>
        <v>0</v>
      </c>
      <c r="F9" s="3">
        <f>COUNTIFS('Field Plots'!$E:$E,"Douglas-fir",'Field Plots'!$F:$F,"Rocky Mtn. Juniper")/Metadata!$B$6</f>
        <v>0</v>
      </c>
      <c r="G9" s="3">
        <f>COUNTIFS('Field Plots'!$E:$E,"Limber pine",'Field Plots'!$F:$F,"Rocky Mtn. Juniper")/Metadata!$B$6</f>
        <v>0</v>
      </c>
      <c r="H9" s="3">
        <f>COUNTIFS('Field Plots'!$E:$E,"Aspen",'Field Plots'!$F:$F,"Rocky Mtn. Juniper")/Metadata!$B$6</f>
        <v>0</v>
      </c>
      <c r="I9" s="3">
        <f>COUNTIFS('Field Plots'!$E:$E,"Rocky Mtn. Juniper",'Field Plots'!$F:$F,"Rocky Mtn. Juniper")/Metadata!$B$6</f>
        <v>0</v>
      </c>
      <c r="J9" s="3">
        <f>COUNTIFS('Field Plots'!$E:$E,"Engelmann spruce",'Field Plots'!$F:$F,"Rocky Mtn. Juniper")/Metadata!$B$6</f>
        <v>0</v>
      </c>
      <c r="K9" s="3">
        <f>COUNTIFS('Field Plots'!$E:$E,"Subalpine fir",'Field Plots'!$F:$F,"Rocky Mtn. Juniper")/Metadata!$B$6</f>
        <v>0</v>
      </c>
      <c r="L9" s="3">
        <f t="shared" si="0"/>
        <v>0</v>
      </c>
    </row>
    <row r="10" spans="2:12" x14ac:dyDescent="0.35">
      <c r="B10" s="5" t="s">
        <v>11</v>
      </c>
      <c r="C10" s="3">
        <f>COUNTIFS('Field Plots'!$E:$E,"Bare Ground",'Field Plots'!$F:$F,"Engelmann spruce")/Metadata!$B$6</f>
        <v>0</v>
      </c>
      <c r="D10" s="3">
        <f>COUNTIFS('Field Plots'!$E:$E,"Ponderosa pine",'Field Plots'!$F:$F,"Engelmann spruce")/Metadata!$B$6</f>
        <v>0</v>
      </c>
      <c r="E10" s="3">
        <f>COUNTIFS('Field Plots'!$E:$E,"Lodgepole pine",'Field Plots'!$F:$F,"Engelmann spruce")/Metadata!$B$6</f>
        <v>0</v>
      </c>
      <c r="F10" s="3">
        <f>COUNTIFS('Field Plots'!$E:$E,"Douglas-fir",'Field Plots'!$F:$F,"Engelmann spruce")/Metadata!$B$6</f>
        <v>1.2345679012345678E-2</v>
      </c>
      <c r="G10" s="3">
        <f>COUNTIFS('Field Plots'!$E:$E,"Limber pine",'Field Plots'!$F:$F,"Engelmann spruce")/Metadata!$B$6</f>
        <v>0</v>
      </c>
      <c r="H10" s="3">
        <f>COUNTIFS('Field Plots'!$E:$E,"Aspen",'Field Plots'!$F:$F,"Engelmann spruce")/Metadata!$B$6</f>
        <v>0</v>
      </c>
      <c r="I10" s="3">
        <f>COUNTIFS('Field Plots'!$E:$E,"Rocky Mtn. Juniper",'Field Plots'!$F:$F,"Engelmann spruce")/Metadata!$B$6</f>
        <v>0</v>
      </c>
      <c r="J10" s="3">
        <f>COUNTIFS('Field Plots'!$E:$E,"Engelmann spruce",'Field Plots'!$F:$F,"Engelmann spruce")/Metadata!$B$6</f>
        <v>0</v>
      </c>
      <c r="K10" s="3">
        <f>COUNTIFS('Field Plots'!$E:$E,"Subalpine fir",'Field Plots'!$F:$F,"Engelmann spruce")/Metadata!$B$6</f>
        <v>0</v>
      </c>
      <c r="L10" s="3">
        <f t="shared" si="0"/>
        <v>1.2345679012345678E-2</v>
      </c>
    </row>
    <row r="11" spans="2:12" x14ac:dyDescent="0.35">
      <c r="B11" s="5" t="s">
        <v>18</v>
      </c>
      <c r="C11" s="3">
        <f>COUNTIFS('Field Plots'!$E:$E,"Bare Ground",'Field Plots'!$F:$F,"Subalpine fir")/Metadata!$B$6</f>
        <v>0</v>
      </c>
      <c r="D11" s="3">
        <f>COUNTIFS('Field Plots'!$E:$E,"Ponderosa pine",'Field Plots'!$F:$F,"Subalpine fir")/Metadata!$B$6</f>
        <v>0</v>
      </c>
      <c r="E11" s="3">
        <f>COUNTIFS('Field Plots'!$E:$E,"Lodgepole pine",'Field Plots'!$F:$F,"Subalpine fir")/Metadata!$B$6</f>
        <v>0</v>
      </c>
      <c r="F11" s="3">
        <f>COUNTIFS('Field Plots'!$E:$E,"Douglas-fir",'Field Plots'!$F:$F,"Subalpine fir")/Metadata!$B$6</f>
        <v>0</v>
      </c>
      <c r="G11" s="3">
        <f>COUNTIFS('Field Plots'!$E:$E,"Limber pine",'Field Plots'!$F:$F,"Subalpine fir")/Metadata!$B$6</f>
        <v>0</v>
      </c>
      <c r="H11" s="3">
        <f>COUNTIFS('Field Plots'!$E:$E,"Aspen",'Field Plots'!$F:$F,"Subalpine fir")/Metadata!$B$6</f>
        <v>0</v>
      </c>
      <c r="I11" s="3">
        <f>COUNTIFS('Field Plots'!$E:$E,"Rocky Mtn. Juniper",'Field Plots'!$F:$F,"Subalpine fir")/Metadata!$B$6</f>
        <v>0</v>
      </c>
      <c r="J11" s="3">
        <f>COUNTIFS('Field Plots'!$E:$E,"Engelmann spruce",'Field Plots'!$F:$F,"Subalpine fir")/Metadata!$B$6</f>
        <v>0</v>
      </c>
      <c r="K11" s="3">
        <f>COUNTIFS('Field Plots'!$E:$E,"Subalpine fir",'Field Plots'!$F:$F,"Subalpine fir")/Metadata!$B$6</f>
        <v>0</v>
      </c>
      <c r="L11" s="3">
        <f t="shared" si="0"/>
        <v>0</v>
      </c>
    </row>
    <row r="12" spans="2:12" x14ac:dyDescent="0.35">
      <c r="B12" s="2" t="s">
        <v>17</v>
      </c>
      <c r="C12" s="4">
        <f t="shared" ref="C12:L12" si="1">SUM(C3:C11)</f>
        <v>2.4691358024691357E-2</v>
      </c>
      <c r="D12" s="4">
        <f t="shared" si="1"/>
        <v>0.40740740740740738</v>
      </c>
      <c r="E12" s="4">
        <f t="shared" si="1"/>
        <v>0.1728395061728395</v>
      </c>
      <c r="F12" s="4">
        <f t="shared" si="1"/>
        <v>0.32098765432098764</v>
      </c>
      <c r="G12" s="4">
        <f t="shared" si="1"/>
        <v>0</v>
      </c>
      <c r="H12" s="4">
        <f t="shared" si="1"/>
        <v>6.1728395061728392E-2</v>
      </c>
      <c r="I12" s="4">
        <f t="shared" si="1"/>
        <v>0</v>
      </c>
      <c r="J12" s="4">
        <f t="shared" si="1"/>
        <v>1.2345679012345678E-2</v>
      </c>
      <c r="K12" s="4">
        <f t="shared" si="1"/>
        <v>0</v>
      </c>
      <c r="L12" s="4">
        <f t="shared" si="1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4672-6BFF-435C-918E-D1CF897EC9AA}">
  <dimension ref="B2:C15"/>
  <sheetViews>
    <sheetView workbookViewId="0">
      <selection activeCell="C3" sqref="C3:C15"/>
    </sheetView>
  </sheetViews>
  <sheetFormatPr defaultRowHeight="14.5" x14ac:dyDescent="0.35"/>
  <cols>
    <col min="2" max="2" width="16.6328125" bestFit="1" customWidth="1"/>
    <col min="3" max="3" width="19.90625" bestFit="1" customWidth="1"/>
  </cols>
  <sheetData>
    <row r="2" spans="2:3" x14ac:dyDescent="0.35">
      <c r="B2" t="s">
        <v>8</v>
      </c>
      <c r="C2" t="s">
        <v>9</v>
      </c>
    </row>
    <row r="3" spans="2:3" x14ac:dyDescent="0.35">
      <c r="B3" t="s">
        <v>19</v>
      </c>
      <c r="C3" t="s">
        <v>19</v>
      </c>
    </row>
    <row r="4" spans="2:3" x14ac:dyDescent="0.35">
      <c r="B4" t="s">
        <v>20</v>
      </c>
      <c r="C4" t="s">
        <v>31</v>
      </c>
    </row>
    <row r="5" spans="2:3" x14ac:dyDescent="0.35">
      <c r="B5" t="s">
        <v>21</v>
      </c>
      <c r="C5" t="s">
        <v>30</v>
      </c>
    </row>
    <row r="6" spans="2:3" x14ac:dyDescent="0.35">
      <c r="B6" t="s">
        <v>10</v>
      </c>
      <c r="C6" t="s">
        <v>32</v>
      </c>
    </row>
    <row r="7" spans="2:3" x14ac:dyDescent="0.35">
      <c r="B7" t="s">
        <v>22</v>
      </c>
      <c r="C7" t="s">
        <v>33</v>
      </c>
    </row>
    <row r="8" spans="2:3" x14ac:dyDescent="0.35">
      <c r="B8" t="s">
        <v>23</v>
      </c>
      <c r="C8" t="s">
        <v>34</v>
      </c>
    </row>
    <row r="9" spans="2:3" x14ac:dyDescent="0.35">
      <c r="B9" t="s">
        <v>25</v>
      </c>
      <c r="C9" t="s">
        <v>35</v>
      </c>
    </row>
    <row r="10" spans="2:3" x14ac:dyDescent="0.35">
      <c r="B10" t="s">
        <v>11</v>
      </c>
      <c r="C10" t="s">
        <v>36</v>
      </c>
    </row>
    <row r="11" spans="2:3" x14ac:dyDescent="0.35">
      <c r="B11" t="s">
        <v>24</v>
      </c>
      <c r="C11" t="s">
        <v>37</v>
      </c>
    </row>
    <row r="12" spans="2:3" x14ac:dyDescent="0.35">
      <c r="C12" t="s">
        <v>38</v>
      </c>
    </row>
    <row r="13" spans="2:3" x14ac:dyDescent="0.35">
      <c r="C13" t="s">
        <v>39</v>
      </c>
    </row>
    <row r="14" spans="2:3" x14ac:dyDescent="0.35">
      <c r="C14" t="s">
        <v>40</v>
      </c>
    </row>
    <row r="15" spans="2:3" x14ac:dyDescent="0.35">
      <c r="C15" t="s">
        <v>41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Field Plots</vt:lpstr>
      <vt:lpstr>Occurrence</vt:lpstr>
      <vt:lpstr>Species Assn</vt:lpstr>
      <vt:lpstr>Lists</vt:lpstr>
    </vt:vector>
  </TitlesOfParts>
  <Company>U.S.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Fialko, Kathleen - FS</dc:creator>
  <cp:lastModifiedBy>Fialko, Kathleen - FS</cp:lastModifiedBy>
  <dcterms:created xsi:type="dcterms:W3CDTF">2020-06-30T21:39:47Z</dcterms:created>
  <dcterms:modified xsi:type="dcterms:W3CDTF">2020-08-19T15:46:57Z</dcterms:modified>
</cp:coreProperties>
</file>